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10695" tabRatio="929" activeTab="0"/>
  </bookViews>
  <sheets>
    <sheet name="приложение 1.1" sheetId="1" r:id="rId1"/>
    <sheet name="Лист1" sheetId="2" r:id="rId2"/>
  </sheets>
  <definedNames>
    <definedName name="_xlnm._FilterDatabase" localSheetId="0" hidden="1">'приложение 1.1'!$A$19:$CR$281</definedName>
    <definedName name="_xlnm.Print_Titles" localSheetId="0">'приложение 1.1'!$17:$19</definedName>
    <definedName name="_xlnm.Print_Area" localSheetId="0">'приложение 1.1'!$A$1:$W$286</definedName>
  </definedNames>
  <calcPr fullCalcOnLoad="1"/>
</workbook>
</file>

<file path=xl/sharedStrings.xml><?xml version="1.0" encoding="utf-8"?>
<sst xmlns="http://schemas.openxmlformats.org/spreadsheetml/2006/main" count="770" uniqueCount="354">
  <si>
    <t xml:space="preserve">Раздел: Перечень инвестиционных проектов на период реализации инвестиционной программы и план их финансирования </t>
  </si>
  <si>
    <t>Согласно Приложению №1.1.</t>
  </si>
  <si>
    <t>г. Цивильск</t>
  </si>
  <si>
    <t>2.1.</t>
  </si>
  <si>
    <t>1.1.1.</t>
  </si>
  <si>
    <t>1.1.3.</t>
  </si>
  <si>
    <t>1.1.3.1.</t>
  </si>
  <si>
    <t>к приказу Минэнерго России</t>
  </si>
  <si>
    <t>от «24» марта 2010 г. № 114</t>
  </si>
  <si>
    <t>Утверждаю:</t>
  </si>
  <si>
    <t>ООО "Коммунальные технологии"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</si>
  <si>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</si>
  <si>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</si>
  <si>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</si>
  <si>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</si>
  <si>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строительства</t>
  </si>
  <si>
    <t>год 
окончания 
строительства</t>
  </si>
  <si>
    <t>Полная 
стоимость 
строительства       (с НДС)</t>
  </si>
  <si>
    <t>Остаточная стоимость строительства **</t>
  </si>
  <si>
    <t>План 
финансирования 
текущего года (2011 г.)</t>
  </si>
  <si>
    <t>Ввод мощностей</t>
  </si>
  <si>
    <t>План года 2014 г.</t>
  </si>
  <si>
    <t>План года 2015 г.</t>
  </si>
  <si>
    <t>План года 2016 г.</t>
  </si>
  <si>
    <t>Итого</t>
  </si>
  <si>
    <t xml:space="preserve">План года 2013 г. </t>
  </si>
  <si>
    <t>С/П*</t>
  </si>
  <si>
    <t>МВт/Гкал/ч/км/МВА</t>
  </si>
  <si>
    <t>млн.рублей</t>
  </si>
  <si>
    <t>без НДС</t>
  </si>
  <si>
    <t>Техническое перевооружение и реконструкция</t>
  </si>
  <si>
    <t>Энергосбережение и повышение энергетической эффективности</t>
  </si>
  <si>
    <t>1.1.2.</t>
  </si>
  <si>
    <t>ВЛ-0.4 кВ</t>
  </si>
  <si>
    <t>1.1.2.1.</t>
  </si>
  <si>
    <t>г.Чебоксары</t>
  </si>
  <si>
    <t>С</t>
  </si>
  <si>
    <t>5,6 км</t>
  </si>
  <si>
    <t>3,0 км</t>
  </si>
  <si>
    <t>г.Мариинский Посад :</t>
  </si>
  <si>
    <t>КЛ-0.4 кВ</t>
  </si>
  <si>
    <t>ТП-310 ул.Шумилова,13Б</t>
  </si>
  <si>
    <t>ТП-341 б-р Эгерский,18А</t>
  </si>
  <si>
    <t>2,49 км</t>
  </si>
  <si>
    <t>ТП-342 ул.Л.Комсомола,36А</t>
  </si>
  <si>
    <t>1,46 км</t>
  </si>
  <si>
    <t>2,897 км</t>
  </si>
  <si>
    <t>ТП-260 ул. Гагарина, 15б, г.Чебоксары</t>
  </si>
  <si>
    <t>1,886 км</t>
  </si>
  <si>
    <t>ТП-182 ул. Маршака, 4А, г.Чебоксары</t>
  </si>
  <si>
    <t>2,015 км</t>
  </si>
  <si>
    <t xml:space="preserve">ТП-63 ул. К.Маркса, 60Б, г.Чебоксары </t>
  </si>
  <si>
    <t xml:space="preserve">ТП-52  ул. Ярославская, 48а, г.Чебоксары </t>
  </si>
  <si>
    <t>1,407 км</t>
  </si>
  <si>
    <t>ТП-6-10/0.4 кВ</t>
  </si>
  <si>
    <t>1.2.</t>
  </si>
  <si>
    <t>Создание систем телеуправления и сигнализации</t>
  </si>
  <si>
    <t>1.2.1.</t>
  </si>
  <si>
    <t>1 комплект</t>
  </si>
  <si>
    <t>П</t>
  </si>
  <si>
    <t>1.3.</t>
  </si>
  <si>
    <t>Прочее техническое перевооружение и реконструкция</t>
  </si>
  <si>
    <t>1.3.1.</t>
  </si>
  <si>
    <t>ПС 110/6 кВ</t>
  </si>
  <si>
    <t>1.3.1.1.</t>
  </si>
  <si>
    <t>1.3.2.</t>
  </si>
  <si>
    <t>ВЛ-6-10 кВ</t>
  </si>
  <si>
    <t>1.3.2.1.</t>
  </si>
  <si>
    <t>1.3.2.2.</t>
  </si>
  <si>
    <t>г.Цивильск</t>
  </si>
  <si>
    <t>1.3.2.3.</t>
  </si>
  <si>
    <t>1.3.3.</t>
  </si>
  <si>
    <t>1.3.3.1.</t>
  </si>
  <si>
    <t xml:space="preserve">от ТП-117 ул.Энергетиков,32А </t>
  </si>
  <si>
    <t>5,73 км</t>
  </si>
  <si>
    <t>1.3.3.2.</t>
  </si>
  <si>
    <t>1.3.3.3.</t>
  </si>
  <si>
    <t>1.3.4.</t>
  </si>
  <si>
    <t>КЛ-6-10 кВ</t>
  </si>
  <si>
    <t>1.3.4.1.</t>
  </si>
  <si>
    <t>0,4 км</t>
  </si>
  <si>
    <t>1.3.5.</t>
  </si>
  <si>
    <t>1.3.5.1.</t>
  </si>
  <si>
    <t>1,1 км</t>
  </si>
  <si>
    <t>ТП-300 ул.Хузангая,4А</t>
  </si>
  <si>
    <t>1,17 км</t>
  </si>
  <si>
    <t>ТП-81 ул. Чапаева, 17а, г.Чебоксары</t>
  </si>
  <si>
    <t>0,19 км</t>
  </si>
  <si>
    <t>0,595 км</t>
  </si>
  <si>
    <t>1,168 км</t>
  </si>
  <si>
    <t>РП-14 ул. Шумилова, 8, г.Чебоксары</t>
  </si>
  <si>
    <t>1,51 км</t>
  </si>
  <si>
    <t>РП-18 ул. Шумилова, 18Б, г.Чебоксары</t>
  </si>
  <si>
    <t>0,55 км</t>
  </si>
  <si>
    <t>1.3.6.</t>
  </si>
  <si>
    <t>РП-6-10 кВ</t>
  </si>
  <si>
    <t>1.3.6.1.</t>
  </si>
  <si>
    <t>РП-5 ул. Энтузиастов, 3 (замена КСО)</t>
  </si>
  <si>
    <t>1.3.7.</t>
  </si>
  <si>
    <t>1.3.7.1.</t>
  </si>
  <si>
    <t>1.3.7.2.</t>
  </si>
  <si>
    <t>0,8 Мва</t>
  </si>
  <si>
    <t>1.3.7.3.</t>
  </si>
  <si>
    <t>1.4.</t>
  </si>
  <si>
    <t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t>
  </si>
  <si>
    <t>Новое строительство</t>
  </si>
  <si>
    <t>2.2.</t>
  </si>
  <si>
    <t>Прочее новое строительство</t>
  </si>
  <si>
    <t>2.2.1.</t>
  </si>
  <si>
    <t>2.2.1.1.</t>
  </si>
  <si>
    <t>2.2.2.</t>
  </si>
  <si>
    <t>2.2.3.</t>
  </si>
  <si>
    <t>2.2.3.1.</t>
  </si>
  <si>
    <t>2 км</t>
  </si>
  <si>
    <t>2.2.3.2.</t>
  </si>
  <si>
    <t>2.2.3.3.</t>
  </si>
  <si>
    <t>0,4 Мва</t>
  </si>
  <si>
    <t>2,2 км</t>
  </si>
  <si>
    <t>Оборудование, не входящее в сметы строек</t>
  </si>
  <si>
    <t>3.1.</t>
  </si>
  <si>
    <t>1,208 км</t>
  </si>
  <si>
    <t>2х0,25 км</t>
  </si>
  <si>
    <t>КЛ-6 кВ от РП-29 до ТП №697 (ТП-1) Гремяческий проезд, г.Чебоксары</t>
  </si>
  <si>
    <t>2х0,87 км</t>
  </si>
  <si>
    <t>План года 2017 г.</t>
  </si>
  <si>
    <t xml:space="preserve">План года 2017 г. </t>
  </si>
  <si>
    <t xml:space="preserve"> </t>
  </si>
  <si>
    <t>1,96 км</t>
  </si>
  <si>
    <t>ТП-216 ул. К.Маркса, 36А, г.Чебоксары</t>
  </si>
  <si>
    <t>0,573 км</t>
  </si>
  <si>
    <t>ТП-500 ул. Совхозная, 10Б, г.Чебоксары</t>
  </si>
  <si>
    <t>6,104 км</t>
  </si>
  <si>
    <t>ТП-82 ул. Школьный проезд, 6Б, г.Чебоксары</t>
  </si>
  <si>
    <t>1,226 км</t>
  </si>
  <si>
    <t>ТП-79 пр. Ленина 41А, г.Чебоксары</t>
  </si>
  <si>
    <t>2х2,4 км</t>
  </si>
  <si>
    <t>3,5 км</t>
  </si>
  <si>
    <t>2.2.2.1.</t>
  </si>
  <si>
    <t>2.2.4.</t>
  </si>
  <si>
    <t>1.4.1.</t>
  </si>
  <si>
    <t>1.4.1.1.</t>
  </si>
  <si>
    <t>1.1.1.1.</t>
  </si>
  <si>
    <t>1.1.1.2.</t>
  </si>
  <si>
    <t>Объем финансирования (с НДС) ****</t>
  </si>
  <si>
    <t>0,3 км</t>
  </si>
  <si>
    <t>_________________Ю.И.Алексеев</t>
  </si>
  <si>
    <t>3,6 км</t>
  </si>
  <si>
    <t>2,8 км</t>
  </si>
  <si>
    <t>ВЛ-0,4 кВ</t>
  </si>
  <si>
    <t>А.В.Мартьянов</t>
  </si>
  <si>
    <t>1.3.4.2.</t>
  </si>
  <si>
    <t>Генеральный директор</t>
  </si>
  <si>
    <t>ТП, РП-6-10 кВ</t>
  </si>
  <si>
    <t>2.1.1.</t>
  </si>
  <si>
    <t>2.1.2.</t>
  </si>
  <si>
    <t>2.1.3.</t>
  </si>
  <si>
    <t>4,4 км</t>
  </si>
  <si>
    <t>2.1.1.1.</t>
  </si>
  <si>
    <t>2.1.2.1.</t>
  </si>
  <si>
    <t>2.1.3.1.</t>
  </si>
  <si>
    <t>0,25 мВА</t>
  </si>
  <si>
    <t>1,33 км</t>
  </si>
  <si>
    <t>1,9 км</t>
  </si>
  <si>
    <t>1,53 км</t>
  </si>
  <si>
    <t>Строительство КЛ-10 кВ от ПС "Новый город" до РП-3 в жилом районе "Новый город", г.Чебоксары</t>
  </si>
  <si>
    <t>Строительство РП в районе ж/д по ул.Гайдара, г.Чебоксары (выполнение СМР и ПНР)</t>
  </si>
  <si>
    <t>0,8 км</t>
  </si>
  <si>
    <t>1,4 км</t>
  </si>
  <si>
    <t>от ТП-117, ул.Энергетиков, 32А</t>
  </si>
  <si>
    <t>0,54 км</t>
  </si>
  <si>
    <t>2х0,3 км</t>
  </si>
  <si>
    <t>1,0 км</t>
  </si>
  <si>
    <t>РП-29 Марпосадское шоссе, 9В, г.Чебоксары</t>
  </si>
  <si>
    <t>КСО 2 шт.</t>
  </si>
  <si>
    <t>ТП-216, ул.К.Маркса, 36А, г.Чебоксары</t>
  </si>
  <si>
    <t>ТП-277,  ул.Хевешская, 27А</t>
  </si>
  <si>
    <t>ТП-153,  ул.Обиковская,567А</t>
  </si>
  <si>
    <t>ТП-232 пр.Мира, 22А (замена КСО и ЩО)</t>
  </si>
  <si>
    <t>КЛ-10 кВ от ПС "Цивильская" до ТП-11 водозабор (Л-26,25)</t>
  </si>
  <si>
    <t>ТП-10 кВ для электроснабжения 7-8 этажного ж/д по ул.Фучика</t>
  </si>
  <si>
    <t>2х0,88</t>
  </si>
  <si>
    <t>2х1,52 км</t>
  </si>
  <si>
    <t xml:space="preserve">ВСЕГО  по ООО "Коммунальные технологии" </t>
  </si>
  <si>
    <t>2.1.1.2.</t>
  </si>
  <si>
    <t>2.1.1.3.</t>
  </si>
  <si>
    <t>2.1.3.2.</t>
  </si>
  <si>
    <t>2.1.3.3.</t>
  </si>
  <si>
    <t xml:space="preserve">Реконструкция ВЛ-0,4 кВ с заменой на СИП, с установкой КТПК №5 </t>
  </si>
  <si>
    <t>2,090 км</t>
  </si>
  <si>
    <t>ТП-357 ул. Энгельса, 46а, г.Чебоксары</t>
  </si>
  <si>
    <t>ТП-356 пр. И.Яковлева, 17а, г.Чебоксары</t>
  </si>
  <si>
    <t>ТП-354 ул. Гагарина, 19а, г.Чебоксары</t>
  </si>
  <si>
    <t>РП-10 до ж/д 12,14,16 по ул. Николаева, г.Чебоксары</t>
  </si>
  <si>
    <t>2х0,24 км</t>
  </si>
  <si>
    <t>тр-р 630кВА-2 шт.; КСО-6 шт.; ЩО70-12 шт.</t>
  </si>
  <si>
    <t>КСО-4 шт., ЩО-8 шт.</t>
  </si>
  <si>
    <t>КСО-6 шт.</t>
  </si>
  <si>
    <t>КСО-5 шт., ЩО-3 шт.</t>
  </si>
  <si>
    <t xml:space="preserve">Строительство ВЛИ-0,4 кВ, КЛ-0,4 кВ по ул.Тальниковая, Юности, Спланая в п.Сосновка (для электроснабжения многодетных семей) </t>
  </si>
  <si>
    <t>1.3.5.2.</t>
  </si>
  <si>
    <t xml:space="preserve">РП-7 ул.Лумумба, 17 </t>
  </si>
  <si>
    <t>РП-31, ул.Гладкова, 29</t>
  </si>
  <si>
    <t>2,18 км</t>
  </si>
  <si>
    <t xml:space="preserve"> КЛ-10 кВ для электроснабжения 7-8 этажного ж/д по ул.Фучика</t>
  </si>
  <si>
    <t>0,84км</t>
  </si>
  <si>
    <t>ТП-27 (установка нового ТП)</t>
  </si>
  <si>
    <t xml:space="preserve">Замена ВЛ-10 кВ от ПС "Цивильская" на КЛ-10 кВ линия №38 и резервирование РП-1 по ул.Никитина, 6В </t>
  </si>
  <si>
    <t>КЛ-6 кВ  от КТПН по ул.Пристанционная до опоры ВЛ от РП-17 (изменение точки присоединения)</t>
  </si>
  <si>
    <t>по ООО "Коммунальные технологии" на 2014-2018 годы</t>
  </si>
  <si>
    <t>КЛ-6 кВ  от ТП-128-129-130-401 по ул.Гремячево, г.Чебоксары</t>
  </si>
  <si>
    <t>(КСО-15 шт., ЩО70-2шт.)</t>
  </si>
  <si>
    <t>г.Цивильск :</t>
  </si>
  <si>
    <t>5,3 км</t>
  </si>
  <si>
    <t>4,095 км</t>
  </si>
  <si>
    <t>0,580 км</t>
  </si>
  <si>
    <t xml:space="preserve">Строительство ВЛИ-0,4 кВ, КЛ-0,4 кВ по ул.Тальниковая, Юности, Сплавная в п.Сосновка (для электроснабжения многодетных семей) </t>
  </si>
  <si>
    <t>Строительство РП-№5 в мкр. "Новый город"</t>
  </si>
  <si>
    <t>г.Цивильск:</t>
  </si>
  <si>
    <t>ВЛЗ-10 кВ от РП-1до ТП-14 (реконструкция Л-26)</t>
  </si>
  <si>
    <t>3 км</t>
  </si>
  <si>
    <t>КЛ-10 кВ от РП-1 до ТП-14 (реконструкция Л-26)</t>
  </si>
  <si>
    <t>от ТП-19 ул.Курчатова</t>
  </si>
  <si>
    <t>от ТП-25 пересечение ул.Лазо и ул.Школьная</t>
  </si>
  <si>
    <t>Замена ТП-29 на новую</t>
  </si>
  <si>
    <t>1 шт.</t>
  </si>
  <si>
    <t>Замена сущ. ТП-25 на КТПН</t>
  </si>
  <si>
    <t>КСО-8 шт., ЩО70-5 шт., тр-р ТМГ-250</t>
  </si>
  <si>
    <t>0,38 км</t>
  </si>
  <si>
    <t>4,5 км</t>
  </si>
  <si>
    <t>12,7 км</t>
  </si>
  <si>
    <t>5,935 км</t>
  </si>
  <si>
    <t>1.1.1.3.</t>
  </si>
  <si>
    <t>3,575 км</t>
  </si>
  <si>
    <t>ТП-146, ул.Ашмарина, 7Б</t>
  </si>
  <si>
    <t>1,35 км</t>
  </si>
  <si>
    <t>0,885 км</t>
  </si>
  <si>
    <t>ТП-13, ул.К.Иванова, 96А</t>
  </si>
  <si>
    <t>0,69 км</t>
  </si>
  <si>
    <t>ТП-127, ул..Декабристов, 17Б</t>
  </si>
  <si>
    <t>4,245 км</t>
  </si>
  <si>
    <t>Строительство КЛ-6 кВ от ГПП ХБК до нового РП в районе ТП-516 по ул. Гагарина,45а и от РП до ТП-111, г.Чебоксары (2 очередь)</t>
  </si>
  <si>
    <t xml:space="preserve">4х0,433км </t>
  </si>
  <si>
    <t xml:space="preserve">Строительство ВЛИ-0,4 кВ, ТП кВ по ул.Новая в п.Сосновка (для электроснабжения многодетных семей) </t>
  </si>
  <si>
    <t>Реконструкция силового оборудования ТП-15 (замена ТМ-560 кВА на ТМГ-400)</t>
  </si>
  <si>
    <t>План года 2018 г.</t>
  </si>
  <si>
    <t xml:space="preserve">План года 2018 г. </t>
  </si>
  <si>
    <t>4х0,967км</t>
  </si>
  <si>
    <t>Строительство КЛ-10 кВ от ПС "Новый город" до РП-40 совместно с РП-3 (1 очередь)</t>
  </si>
  <si>
    <t>4х1,3 км</t>
  </si>
  <si>
    <t xml:space="preserve"> ВЛИ в микрорайоне "Южный" (для электроснабжения многодетных семей)</t>
  </si>
  <si>
    <t>2,302 км</t>
  </si>
  <si>
    <t>ВЛ-6/10 кВ</t>
  </si>
  <si>
    <t>2.2.4.1.</t>
  </si>
  <si>
    <t xml:space="preserve"> ВЛЗ в микрорайоне "Южный" (для электроснабжения многодетных семей)</t>
  </si>
  <si>
    <t>0,81 км</t>
  </si>
  <si>
    <t>2.2.2.2.</t>
  </si>
  <si>
    <t>ТП-10 кВ (для электроснабжения многодетных семей)</t>
  </si>
  <si>
    <t>0,25 Мва</t>
  </si>
  <si>
    <t>Строительство РП-№3в мкр. "Новый город"</t>
  </si>
  <si>
    <t>от ТП-132 ул.Гремячевская, 52, г.Чебоксары</t>
  </si>
  <si>
    <t>Строительство КЛ-10 кВ от ПС "Новый город" до РП-40 (2 очередь)</t>
  </si>
  <si>
    <t>4х0,66 км</t>
  </si>
  <si>
    <t>(КСО-4 шт., ЩО70-8шт.)</t>
  </si>
  <si>
    <t>(КСО-6 шт.)</t>
  </si>
  <si>
    <t>(КСО-5 шт., ЩО70-3 шт.)</t>
  </si>
  <si>
    <t xml:space="preserve">Реконструкция силового оборудования в ТП-23 </t>
  </si>
  <si>
    <t>тр. 400кВА-1шт., ЩО70-8шт.</t>
  </si>
  <si>
    <t>от ТП-144, ул.Ушинского, 6А,г.Чебоксары</t>
  </si>
  <si>
    <t>5,730 км</t>
  </si>
  <si>
    <t>(КСО-14 шт., ЩО70-11 шт.)</t>
  </si>
  <si>
    <t>(КСО-4 шт., ЩО70-2 шт.)</t>
  </si>
  <si>
    <t>(КСО-4 шт., ЩО70-3 шт.)</t>
  </si>
  <si>
    <t>(КСО-3 шт., ЩО70-2 шт.)</t>
  </si>
  <si>
    <t>(КСО-5 шт., ЩО70-4 шт.)</t>
  </si>
  <si>
    <t>(КСО-17 шт.)</t>
  </si>
  <si>
    <t>0,58 км</t>
  </si>
  <si>
    <t>Строительство КЛ-6 кВ от ГПП ХБК до нового РП в районе ж/д 7/46 по ул. Гайдара и от РП до ТП-107, г.Чебоксары (1 очередь)</t>
  </si>
  <si>
    <t>Строительство КЛ-6 кВ от ГПП ХБК до нового РП в районе ж/д 7/46 по ул. Гайдара и от РП до ТП-107, г.Чебоксары (2 очередь)</t>
  </si>
  <si>
    <t>4х1,97 км; 2х0,15 км;</t>
  </si>
  <si>
    <t>1,270 км</t>
  </si>
  <si>
    <t>2КТПН-БМ-160 кВА 10/0,4</t>
  </si>
  <si>
    <t>от ТП-141, ул.Ашмарина, 33А, с установкой дополнительной КТПН, г.Чебоксары</t>
  </si>
  <si>
    <t>КТПН-1шт., ВЛ-0,4 кВ - 1,960 км</t>
  </si>
  <si>
    <t>ТП-260 ул.Гагарина, 15б, г.Чебоксары</t>
  </si>
  <si>
    <t>ТП-237 ул.50 лет Октября, 23А, г.Чебоксары</t>
  </si>
  <si>
    <t>(КСО-4 шт., ЩО70-4 шт.)</t>
  </si>
  <si>
    <t>ТП-238 пр.Мира, 28А, г.Чебоксары</t>
  </si>
  <si>
    <t>ТП-219 ул..Т.Кирова, 13В, г.Чебоксары</t>
  </si>
  <si>
    <t>(КСО-5 шт.)</t>
  </si>
  <si>
    <t>(КСО-18 шт., ЩО70-4шт.)</t>
  </si>
  <si>
    <t>РП-3, ул.Воробьевых, 16б</t>
  </si>
  <si>
    <t>(КСО-16 шт., ЩО70-5шт.)</t>
  </si>
  <si>
    <t>Установка дополнительной КТПН (реконструкция ВЛ-0,4 кВ от ТП-141)</t>
  </si>
  <si>
    <t>(КСО-18 шт., ЩО70-4 шт.)</t>
  </si>
  <si>
    <t>0,8МВА</t>
  </si>
  <si>
    <t>(КСО-16 шт., ЩО70-5 шт.)</t>
  </si>
  <si>
    <t>КЛ-6 кВ от РП-ГМЗ до нового РП</t>
  </si>
  <si>
    <t>Строительство КЛ-10 кВ от ПС "Новый горол" до РП-№5 в мкр. "Новый город"</t>
  </si>
  <si>
    <t>2х2,46 км</t>
  </si>
  <si>
    <t>ТП-255 ул.Николаева, 31А, г.Чебоксары (заменав КСО и ЩО)</t>
  </si>
  <si>
    <t xml:space="preserve">ТП-236 ул.Энтузиастов, 16А, г.Чебоксары </t>
  </si>
  <si>
    <t xml:space="preserve">ТП-200 ул.Гагарина, 13б, г.Чебоксары </t>
  </si>
  <si>
    <t>(КСО-3 шт., ЩО70-3 шт.)</t>
  </si>
  <si>
    <t>(КСО-18 шт.)</t>
  </si>
  <si>
    <t>РП-2, ул.Гагарина, 15А (замена КСО)</t>
  </si>
  <si>
    <t>(КСО-26 шт.)</t>
  </si>
  <si>
    <t>Строительство РП-6кВ по Мясокомбинатскому пр. (взамен РП-ГМЗ)</t>
  </si>
  <si>
    <t>3  км</t>
  </si>
  <si>
    <t>ТП-240 ул.Николаева, 28б, г.Чебоксары (замена КСО и ЩО)</t>
  </si>
  <si>
    <t>5,44 км</t>
  </si>
  <si>
    <t>0,16 МВА</t>
  </si>
  <si>
    <t>ВЛЗ-10 кВ от ПС "Кабельная" пролеты м/у опорами №37 -№40 и №46-56 (реконструкция Л-25)</t>
  </si>
  <si>
    <t>"____"  ________________  2014 г.</t>
  </si>
  <si>
    <t>ТП-66 ул. Ленина, 16б, г.Чебоксары</t>
  </si>
  <si>
    <t>ТП-1416, Эгерский б-р</t>
  </si>
  <si>
    <t>КЛ-10 кВ от ПС "Цивильская" до ТП-11 водозабор (Л-36,25)</t>
  </si>
  <si>
    <t>от ТП-141 ул.Ушинского, 6А, г.Чебоксары</t>
  </si>
  <si>
    <t>ТП-357 ул. Эгерский б-р, 28а, г.Чебоксары</t>
  </si>
  <si>
    <t>2.2.5.</t>
  </si>
  <si>
    <t>Плата за технологическое присоединение вышестоящим смежным сетевым организациям для подключения новых объектов строительства*</t>
  </si>
  <si>
    <t>*-финансирование на данное мероприятие складывается из образовавшейся экономии при уточнении стоимости мероприятий по результатам закупочных процедур (не требуется корректеровка инвестиционной программы)</t>
  </si>
  <si>
    <t>ТП-37 ул. Репина, 22 А</t>
  </si>
  <si>
    <t>от ТП-271 ул. 9ая Южная, 66/ 26 А</t>
  </si>
  <si>
    <t>от ТП-288 ул. Абашевская, 28 а</t>
  </si>
  <si>
    <t>ТП-37  ул. Репина, 22 А</t>
  </si>
  <si>
    <t>ТП-241 ул. Альгешевская, 1 А</t>
  </si>
  <si>
    <t>ТП-395 пос. Восточный, ул. 2ая Путепроводная, 61 "а"</t>
  </si>
  <si>
    <t>КЛ-6 кВ от ТП-542 до ТП-123 ул. Калинина, 109 Г</t>
  </si>
  <si>
    <t>КЛ-6 кВ  от ПС "Парковая" до РП-17 (перезаводка КЛ от ПС "ВНИИР") ул. Пристанционная, 3 (на территории ПАП)</t>
  </si>
  <si>
    <t>ТП-222 (2 этап) пр. Московский, 42 А</t>
  </si>
  <si>
    <t>ТП-303 (2 этап) пр. 9ой Пятилетки, 3 Б</t>
  </si>
  <si>
    <t>ТП-27 (перезаводка КЛ), г.Цивильск</t>
  </si>
  <si>
    <t>РП-11 Эгерский бульвар, 6 А (рядом с котельной)</t>
  </si>
  <si>
    <t>РП-22 пр. Мира, 90 к.2 (во дворе дома)</t>
  </si>
  <si>
    <t xml:space="preserve">РП-24 ул. Кукшумская, 3 "б" </t>
  </si>
  <si>
    <t>ТП-24 пр. Московский, 15 А</t>
  </si>
  <si>
    <t>ТП-273 ул. Николаева, 20 А</t>
  </si>
  <si>
    <t>ТП-208 ул. Гагарина, 20 В</t>
  </si>
  <si>
    <t>ТП-213 ул. Чапаева, 15 А</t>
  </si>
  <si>
    <t>ТП-239 пр. Мира, 36 Б</t>
  </si>
  <si>
    <t>от ТП-10, г.Цивильск</t>
  </si>
  <si>
    <t>ТП-22, г.Цивильск</t>
  </si>
  <si>
    <t>ТП-16, г.Цивильск</t>
  </si>
  <si>
    <t>от КТПК №4  (с установкой КТПН), г. Мариинский Посад</t>
  </si>
  <si>
    <t>от ТП-14 (с установкой КТПН) - 1 часть, г. Мариинский Посад</t>
  </si>
  <si>
    <t>от ТП-14 (с установкой КТПН) - 2 часть, г. Мариинский Посад</t>
  </si>
  <si>
    <t xml:space="preserve">от ТП-29, г. Мариинский Посад </t>
  </si>
  <si>
    <t>от ТП-10, г. Мариинский Посад</t>
  </si>
  <si>
    <t xml:space="preserve">ТП-10, г. Мариинский Посад </t>
  </si>
  <si>
    <t>Реконструкция ТП-32, г. Мариинский Посад</t>
  </si>
  <si>
    <t>Замена ТП-42, г. Мариинский Посад</t>
  </si>
  <si>
    <t>Строительство новой ТП взамен ТП-22, г.Цивильск</t>
  </si>
  <si>
    <t>Строительство РП-6 кВ, г.Чебоксары</t>
  </si>
  <si>
    <t>от ТП-5 (для электроснабжения многодетных семей), г. Мариинский Посад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</si>
</sst>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#####0.0#####"/>
    <numFmt numFmtId="174" formatCode="_-* #,##0;\(#,##0\);_-* &quot;-&quot;??;_-@"/>
    <numFmt numFmtId="175" formatCode="###,###,###,##0,\,000"/>
    <numFmt numFmtId="176" formatCode="[$-FC19]d\ mmmm\ yyyy\ &quot;г.&quot;"/>
    <numFmt numFmtId="177" formatCode="_(* #,##0_);_(* \(#,##0\);_(* &quot;-&quot;_);_(@_)"/>
    <numFmt numFmtId="178" formatCode="#,##0.0"/>
    <numFmt numFmtId="179" formatCode="0.0%"/>
    <numFmt numFmtId="180" formatCode="_(* #,##0.00_);_(* \(#,##0.00\);_(* &quot;-&quot;_);_(@_)"/>
    <numFmt numFmtId="181" formatCode="#,##0.00_ ;\-#,##0.00\ "/>
    <numFmt numFmtId="182" formatCode="#,##0.000_ ;\-#,##0.000\ "/>
    <numFmt numFmtId="183" formatCode="0.00000"/>
    <numFmt numFmtId="184" formatCode="#,##0.0000_ ;\-#,##0.0000\ "/>
    <numFmt numFmtId="185" formatCode="#,##0.00000"/>
    <numFmt numFmtId="186" formatCode="0.0000000"/>
    <numFmt numFmtId="187" formatCode="0.000000"/>
    <numFmt numFmtId="188" formatCode="_(* #,##0.0_);_(* \(#,##0.0\);_(* &quot;-&quot;??_);_(@_)"/>
    <numFmt numFmtId="189" formatCode="_(* #,##0.00_);_(* \(#,##0.00\);_(* &quot;-&quot;??_);_(@_)"/>
    <numFmt numFmtId="190" formatCode="_-* #,##0.000_р_._-;\-* #,##0.000_р_._-;_-* &quot;-&quot;??_р_._-;_-@_-"/>
    <numFmt numFmtId="191" formatCode="_(* #,##0.000_);_(* \(#,##0.000\);_(* &quot;-&quot;??_);_(@_)"/>
    <numFmt numFmtId="192" formatCode="#,##0.0000000000000000000"/>
    <numFmt numFmtId="193" formatCode="#,##0.000&quot;р.&quot;"/>
    <numFmt numFmtId="194" formatCode="#,##0.000_р_."/>
    <numFmt numFmtId="195" formatCode="#,##0.0000_р_.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,##0.0000000000000"/>
  </numFmts>
  <fonts count="77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Helv"/>
      <family val="0"/>
    </font>
    <font>
      <sz val="10"/>
      <name val="Tahoma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.2"/>
      <color indexed="12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.2"/>
      <color indexed="3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0"/>
      <color indexed="36"/>
      <name val="Arial Cyr"/>
      <family val="0"/>
    </font>
    <font>
      <sz val="12"/>
      <color indexed="36"/>
      <name val="Arial Cyr"/>
      <family val="0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sz val="12"/>
      <color theme="4"/>
      <name val="Times New Roman"/>
      <family val="1"/>
    </font>
    <font>
      <b/>
      <sz val="12"/>
      <color theme="4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0"/>
      <color rgb="FF7030A0"/>
      <name val="Arial Cyr"/>
      <family val="0"/>
    </font>
    <font>
      <sz val="12"/>
      <color rgb="FF7030A0"/>
      <name val="Arial Cyr"/>
      <family val="0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Arial Cyr"/>
      <family val="0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7" borderId="7" applyBorder="0">
      <alignment horizontal="right"/>
      <protection/>
    </xf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3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4" borderId="0" applyBorder="0">
      <alignment horizontal="right"/>
      <protection/>
    </xf>
    <xf numFmtId="4" fontId="11" fillId="4" borderId="7" applyFont="0" applyBorder="0">
      <alignment horizontal="right"/>
      <protection/>
    </xf>
    <xf numFmtId="0" fontId="6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18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3" borderId="7" xfId="0" applyFont="1" applyFill="1" applyBorder="1" applyAlignment="1">
      <alignment horizontal="center" vertical="center" wrapText="1"/>
    </xf>
    <xf numFmtId="164" fontId="5" fillId="33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33" borderId="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3" fillId="0" borderId="7" xfId="0" applyFont="1" applyFill="1" applyBorder="1" applyAlignment="1">
      <alignment/>
    </xf>
    <xf numFmtId="0" fontId="5" fillId="34" borderId="7" xfId="0" applyFont="1" applyFill="1" applyBorder="1" applyAlignment="1">
      <alignment horizontal="center" vertical="center" wrapText="1"/>
    </xf>
    <xf numFmtId="164" fontId="5" fillId="34" borderId="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65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164" fontId="5" fillId="35" borderId="7" xfId="0" applyNumberFormat="1" applyFont="1" applyFill="1" applyBorder="1" applyAlignment="1">
      <alignment horizontal="center" vertical="center" wrapText="1"/>
    </xf>
    <xf numFmtId="0" fontId="1" fillId="35" borderId="7" xfId="0" applyFont="1" applyFill="1" applyBorder="1" applyAlignment="1">
      <alignment horizontal="center" vertical="center" wrapText="1"/>
    </xf>
    <xf numFmtId="164" fontId="1" fillId="35" borderId="7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5" fillId="35" borderId="7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5" borderId="7" xfId="0" applyFont="1" applyFill="1" applyBorder="1" applyAlignment="1">
      <alignment horizontal="center" vertical="center"/>
    </xf>
    <xf numFmtId="164" fontId="1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Alignment="1">
      <alignment horizontal="center" vertical="center" wrapText="1"/>
      <protection/>
    </xf>
    <xf numFmtId="164" fontId="1" fillId="0" borderId="0" xfId="0" applyNumberFormat="1" applyFont="1" applyFill="1" applyAlignment="1">
      <alignment horizontal="center" vertical="center"/>
    </xf>
    <xf numFmtId="166" fontId="2" fillId="0" borderId="0" xfId="6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164" fontId="5" fillId="3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/>
    </xf>
    <xf numFmtId="0" fontId="1" fillId="0" borderId="15" xfId="58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/>
    </xf>
    <xf numFmtId="0" fontId="5" fillId="33" borderId="15" xfId="58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64" fontId="7" fillId="18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5" fillId="35" borderId="22" xfId="0" applyNumberFormat="1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164" fontId="5" fillId="35" borderId="17" xfId="0" applyNumberFormat="1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>
      <alignment horizontal="center" vertical="center" wrapText="1"/>
    </xf>
    <xf numFmtId="164" fontId="1" fillId="35" borderId="12" xfId="0" applyNumberFormat="1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33" borderId="27" xfId="0" applyNumberFormat="1" applyFont="1" applyFill="1" applyBorder="1" applyAlignment="1">
      <alignment horizontal="center" vertical="center" wrapText="1"/>
    </xf>
    <xf numFmtId="165" fontId="5" fillId="4" borderId="22" xfId="0" applyNumberFormat="1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164" fontId="1" fillId="35" borderId="17" xfId="0" applyNumberFormat="1" applyFont="1" applyFill="1" applyBorder="1" applyAlignment="1">
      <alignment horizontal="center" vertical="center"/>
    </xf>
    <xf numFmtId="164" fontId="1" fillId="35" borderId="7" xfId="0" applyNumberFormat="1" applyFont="1" applyFill="1" applyBorder="1" applyAlignment="1">
      <alignment horizontal="center" vertical="center"/>
    </xf>
    <xf numFmtId="164" fontId="1" fillId="35" borderId="12" xfId="0" applyNumberFormat="1" applyFont="1" applyFill="1" applyBorder="1" applyAlignment="1">
      <alignment horizontal="center" vertical="center"/>
    </xf>
    <xf numFmtId="164" fontId="5" fillId="35" borderId="12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34" borderId="28" xfId="0" applyNumberFormat="1" applyFont="1" applyFill="1" applyBorder="1" applyAlignment="1">
      <alignment horizontal="center" vertical="center" wrapText="1"/>
    </xf>
    <xf numFmtId="164" fontId="5" fillId="35" borderId="27" xfId="0" applyNumberFormat="1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164" fontId="1" fillId="35" borderId="0" xfId="0" applyNumberFormat="1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164" fontId="64" fillId="0" borderId="7" xfId="0" applyNumberFormat="1" applyFont="1" applyFill="1" applyBorder="1" applyAlignment="1">
      <alignment horizontal="center" vertical="center" wrapText="1"/>
    </xf>
    <xf numFmtId="164" fontId="64" fillId="0" borderId="12" xfId="0" applyNumberFormat="1" applyFont="1" applyFill="1" applyBorder="1" applyAlignment="1">
      <alignment horizontal="center" vertical="center" wrapText="1"/>
    </xf>
    <xf numFmtId="164" fontId="65" fillId="0" borderId="0" xfId="0" applyNumberFormat="1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/>
    </xf>
    <xf numFmtId="0" fontId="64" fillId="0" borderId="0" xfId="0" applyFont="1" applyFill="1" applyAlignment="1">
      <alignment/>
    </xf>
    <xf numFmtId="164" fontId="64" fillId="0" borderId="17" xfId="0" applyNumberFormat="1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left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7" xfId="0" applyFont="1" applyFill="1" applyBorder="1" applyAlignment="1">
      <alignment horizontal="center" vertical="center" wrapText="1"/>
    </xf>
    <xf numFmtId="164" fontId="66" fillId="0" borderId="7" xfId="0" applyNumberFormat="1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/>
    </xf>
    <xf numFmtId="0" fontId="66" fillId="35" borderId="15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164" fontId="66" fillId="0" borderId="12" xfId="0" applyNumberFormat="1" applyFont="1" applyFill="1" applyBorder="1" applyAlignment="1">
      <alignment horizontal="center" vertical="center" wrapText="1"/>
    </xf>
    <xf numFmtId="164" fontId="67" fillId="0" borderId="0" xfId="0" applyNumberFormat="1" applyFont="1" applyAlignment="1">
      <alignment horizontal="center" vertical="center"/>
    </xf>
    <xf numFmtId="0" fontId="66" fillId="0" borderId="0" xfId="0" applyFont="1" applyFill="1" applyAlignment="1">
      <alignment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164" fontId="67" fillId="35" borderId="0" xfId="0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>
      <alignment/>
    </xf>
    <xf numFmtId="0" fontId="68" fillId="35" borderId="15" xfId="0" applyFont="1" applyFill="1" applyBorder="1" applyAlignment="1">
      <alignment horizontal="left" vertical="center"/>
    </xf>
    <xf numFmtId="0" fontId="69" fillId="35" borderId="15" xfId="0" applyFont="1" applyFill="1" applyBorder="1" applyAlignment="1">
      <alignment horizontal="left" vertical="center"/>
    </xf>
    <xf numFmtId="0" fontId="66" fillId="35" borderId="7" xfId="0" applyFont="1" applyFill="1" applyBorder="1" applyAlignment="1">
      <alignment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left" vertical="center"/>
    </xf>
    <xf numFmtId="164" fontId="70" fillId="0" borderId="7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left" vertical="center"/>
    </xf>
    <xf numFmtId="164" fontId="63" fillId="0" borderId="7" xfId="0" applyNumberFormat="1" applyFont="1" applyFill="1" applyBorder="1" applyAlignment="1">
      <alignment horizontal="center" vertical="center" wrapText="1"/>
    </xf>
    <xf numFmtId="164" fontId="72" fillId="0" borderId="0" xfId="0" applyNumberFormat="1" applyFont="1" applyAlignment="1">
      <alignment horizontal="center" vertical="center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7" xfId="0" applyFont="1" applyFill="1" applyBorder="1" applyAlignment="1">
      <alignment horizontal="center" vertical="center" wrapText="1"/>
    </xf>
    <xf numFmtId="164" fontId="63" fillId="35" borderId="16" xfId="0" applyNumberFormat="1" applyFont="1" applyFill="1" applyBorder="1" applyAlignment="1">
      <alignment horizontal="center" vertical="center" wrapText="1"/>
    </xf>
    <xf numFmtId="164" fontId="63" fillId="35" borderId="7" xfId="0" applyNumberFormat="1" applyFont="1" applyFill="1" applyBorder="1" applyAlignment="1">
      <alignment horizontal="center" vertical="center" wrapText="1"/>
    </xf>
    <xf numFmtId="0" fontId="63" fillId="35" borderId="7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horizontal="center" vertical="center"/>
    </xf>
    <xf numFmtId="0" fontId="63" fillId="35" borderId="17" xfId="0" applyFont="1" applyFill="1" applyBorder="1" applyAlignment="1">
      <alignment horizontal="center" vertical="center"/>
    </xf>
    <xf numFmtId="0" fontId="63" fillId="35" borderId="0" xfId="0" applyFont="1" applyFill="1" applyAlignment="1">
      <alignment/>
    </xf>
    <xf numFmtId="164" fontId="63" fillId="35" borderId="7" xfId="0" applyNumberFormat="1" applyFont="1" applyFill="1" applyBorder="1" applyAlignment="1">
      <alignment horizontal="center" vertical="center"/>
    </xf>
    <xf numFmtId="0" fontId="70" fillId="35" borderId="17" xfId="0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7" xfId="0" applyFont="1" applyFill="1" applyBorder="1" applyAlignment="1">
      <alignment horizontal="center" vertical="center" wrapText="1"/>
    </xf>
    <xf numFmtId="164" fontId="70" fillId="35" borderId="16" xfId="0" applyNumberFormat="1" applyFont="1" applyFill="1" applyBorder="1" applyAlignment="1">
      <alignment horizontal="center" vertical="center" wrapText="1"/>
    </xf>
    <xf numFmtId="164" fontId="70" fillId="35" borderId="7" xfId="0" applyNumberFormat="1" applyFont="1" applyFill="1" applyBorder="1" applyAlignment="1">
      <alignment horizontal="center" vertical="center" wrapText="1"/>
    </xf>
    <xf numFmtId="0" fontId="70" fillId="35" borderId="7" xfId="0" applyFont="1" applyFill="1" applyBorder="1" applyAlignment="1">
      <alignment horizontal="center" vertical="center"/>
    </xf>
    <xf numFmtId="0" fontId="70" fillId="35" borderId="25" xfId="0" applyFont="1" applyFill="1" applyBorder="1" applyAlignment="1">
      <alignment horizontal="center" vertical="center"/>
    </xf>
    <xf numFmtId="0" fontId="70" fillId="35" borderId="17" xfId="0" applyFont="1" applyFill="1" applyBorder="1" applyAlignment="1">
      <alignment horizontal="center" vertical="center"/>
    </xf>
    <xf numFmtId="164" fontId="70" fillId="35" borderId="7" xfId="0" applyNumberFormat="1" applyFont="1" applyFill="1" applyBorder="1" applyAlignment="1">
      <alignment horizontal="center" vertical="center"/>
    </xf>
    <xf numFmtId="0" fontId="70" fillId="35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164" fontId="73" fillId="0" borderId="22" xfId="0" applyNumberFormat="1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165" fontId="73" fillId="0" borderId="17" xfId="0" applyNumberFormat="1" applyFont="1" applyFill="1" applyBorder="1" applyAlignment="1">
      <alignment horizontal="center" vertical="center" wrapText="1"/>
    </xf>
    <xf numFmtId="164" fontId="73" fillId="0" borderId="7" xfId="0" applyNumberFormat="1" applyFont="1" applyFill="1" applyBorder="1" applyAlignment="1">
      <alignment horizontal="center" vertical="center" wrapText="1"/>
    </xf>
    <xf numFmtId="164" fontId="73" fillId="0" borderId="12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Alignment="1">
      <alignment horizontal="center" vertical="center"/>
    </xf>
    <xf numFmtId="0" fontId="73" fillId="35" borderId="0" xfId="0" applyFont="1" applyFill="1" applyBorder="1" applyAlignment="1">
      <alignment horizontal="center" vertical="center"/>
    </xf>
    <xf numFmtId="0" fontId="73" fillId="35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7" xfId="0" applyFont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 wrapText="1"/>
    </xf>
    <xf numFmtId="164" fontId="73" fillId="0" borderId="17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15" xfId="0" applyFont="1" applyFill="1" applyBorder="1" applyAlignment="1">
      <alignment horizontal="center" vertical="center" wrapText="1"/>
    </xf>
    <xf numFmtId="164" fontId="73" fillId="35" borderId="7" xfId="0" applyNumberFormat="1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3" fillId="35" borderId="23" xfId="0" applyFont="1" applyFill="1" applyBorder="1" applyAlignment="1">
      <alignment horizontal="left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32" xfId="0" applyFont="1" applyFill="1" applyBorder="1" applyAlignment="1">
      <alignment horizontal="center" vertical="center" wrapText="1"/>
    </xf>
    <xf numFmtId="0" fontId="73" fillId="35" borderId="7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164" fontId="74" fillId="35" borderId="7" xfId="0" applyNumberFormat="1" applyFont="1" applyFill="1" applyBorder="1" applyAlignment="1">
      <alignment horizontal="center" vertical="center" wrapText="1"/>
    </xf>
    <xf numFmtId="164" fontId="74" fillId="35" borderId="22" xfId="0" applyNumberFormat="1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horizontal="center" vertical="center"/>
    </xf>
    <xf numFmtId="0" fontId="73" fillId="35" borderId="16" xfId="0" applyFont="1" applyFill="1" applyBorder="1" applyAlignment="1">
      <alignment horizontal="center" vertical="center" wrapText="1"/>
    </xf>
    <xf numFmtId="0" fontId="73" fillId="35" borderId="7" xfId="0" applyFont="1" applyFill="1" applyBorder="1" applyAlignment="1">
      <alignment/>
    </xf>
    <xf numFmtId="0" fontId="73" fillId="35" borderId="15" xfId="0" applyFont="1" applyFill="1" applyBorder="1" applyAlignment="1">
      <alignment horizontal="left" vertical="center"/>
    </xf>
    <xf numFmtId="0" fontId="73" fillId="0" borderId="22" xfId="0" applyFont="1" applyFill="1" applyBorder="1" applyAlignment="1">
      <alignment horizontal="center" vertical="center" wrapText="1"/>
    </xf>
    <xf numFmtId="164" fontId="74" fillId="0" borderId="7" xfId="0" applyNumberFormat="1" applyFont="1" applyFill="1" applyBorder="1" applyAlignment="1">
      <alignment horizontal="center" vertical="center" wrapText="1"/>
    </xf>
    <xf numFmtId="164" fontId="74" fillId="35" borderId="0" xfId="0" applyNumberFormat="1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164" fontId="73" fillId="0" borderId="18" xfId="0" applyNumberFormat="1" applyFont="1" applyFill="1" applyBorder="1" applyAlignment="1">
      <alignment horizontal="center" vertical="center" wrapText="1"/>
    </xf>
    <xf numFmtId="164" fontId="73" fillId="0" borderId="19" xfId="0" applyNumberFormat="1" applyFont="1" applyFill="1" applyBorder="1" applyAlignment="1">
      <alignment horizontal="center" vertical="center" wrapText="1"/>
    </xf>
    <xf numFmtId="164" fontId="73" fillId="0" borderId="20" xfId="0" applyNumberFormat="1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7" xfId="0" applyFont="1" applyFill="1" applyBorder="1" applyAlignment="1">
      <alignment/>
    </xf>
    <xf numFmtId="164" fontId="73" fillId="35" borderId="12" xfId="0" applyNumberFormat="1" applyFont="1" applyFill="1" applyBorder="1" applyAlignment="1">
      <alignment horizontal="center" vertical="center" wrapText="1"/>
    </xf>
    <xf numFmtId="0" fontId="73" fillId="35" borderId="0" xfId="0" applyFont="1" applyFill="1" applyAlignment="1">
      <alignment/>
    </xf>
    <xf numFmtId="0" fontId="1" fillId="35" borderId="16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3" fillId="35" borderId="15" xfId="0" applyFont="1" applyFill="1" applyBorder="1" applyAlignment="1">
      <alignment horizontal="left" vertical="center" wrapText="1"/>
    </xf>
    <xf numFmtId="164" fontId="4" fillId="0" borderId="0" xfId="58" applyNumberFormat="1" applyFont="1" applyAlignment="1">
      <alignment horizontal="center" vertical="center" wrapText="1"/>
      <protection/>
    </xf>
    <xf numFmtId="164" fontId="5" fillId="0" borderId="20" xfId="0" applyNumberFormat="1" applyFont="1" applyFill="1" applyBorder="1" applyAlignment="1">
      <alignment horizontal="center" vertical="center" wrapText="1"/>
    </xf>
    <xf numFmtId="164" fontId="63" fillId="35" borderId="12" xfId="0" applyNumberFormat="1" applyFont="1" applyFill="1" applyBorder="1" applyAlignment="1">
      <alignment horizontal="center" vertical="center"/>
    </xf>
    <xf numFmtId="164" fontId="70" fillId="35" borderId="12" xfId="0" applyNumberFormat="1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left" vertical="center" wrapText="1"/>
    </xf>
    <xf numFmtId="0" fontId="70" fillId="35" borderId="16" xfId="0" applyFont="1" applyFill="1" applyBorder="1" applyAlignment="1">
      <alignment horizontal="center" vertical="center" wrapText="1"/>
    </xf>
    <xf numFmtId="164" fontId="5" fillId="18" borderId="16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73" fillId="35" borderId="25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164" fontId="5" fillId="35" borderId="2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164" fontId="7" fillId="18" borderId="17" xfId="0" applyNumberFormat="1" applyFont="1" applyFill="1" applyBorder="1" applyAlignment="1">
      <alignment horizontal="center" vertical="center" wrapText="1"/>
    </xf>
    <xf numFmtId="164" fontId="7" fillId="18" borderId="26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164" fontId="5" fillId="35" borderId="2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7" fillId="18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5" fillId="4" borderId="27" xfId="0" applyNumberFormat="1" applyFont="1" applyFill="1" applyBorder="1" applyAlignment="1">
      <alignment horizontal="center" vertical="center" wrapText="1"/>
    </xf>
    <xf numFmtId="165" fontId="66" fillId="0" borderId="27" xfId="0" applyNumberFormat="1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/>
    </xf>
    <xf numFmtId="164" fontId="73" fillId="0" borderId="27" xfId="0" applyNumberFormat="1" applyFont="1" applyFill="1" applyBorder="1" applyAlignment="1">
      <alignment horizontal="center" vertical="center" wrapText="1"/>
    </xf>
    <xf numFmtId="0" fontId="70" fillId="35" borderId="27" xfId="0" applyFont="1" applyFill="1" applyBorder="1" applyAlignment="1">
      <alignment horizontal="center" vertical="center"/>
    </xf>
    <xf numFmtId="165" fontId="73" fillId="0" borderId="27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4" fontId="64" fillId="0" borderId="27" xfId="0" applyNumberFormat="1" applyFont="1" applyFill="1" applyBorder="1" applyAlignment="1">
      <alignment horizontal="center" vertical="center" wrapText="1"/>
    </xf>
    <xf numFmtId="164" fontId="5" fillId="34" borderId="27" xfId="0" applyNumberFormat="1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74" fillId="0" borderId="27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73" fillId="35" borderId="27" xfId="0" applyFont="1" applyFill="1" applyBorder="1" applyAlignment="1">
      <alignment horizontal="center" vertical="center" wrapText="1"/>
    </xf>
    <xf numFmtId="164" fontId="1" fillId="35" borderId="27" xfId="0" applyNumberFormat="1" applyFont="1" applyFill="1" applyBorder="1" applyAlignment="1">
      <alignment horizontal="center" vertical="center"/>
    </xf>
    <xf numFmtId="164" fontId="73" fillId="0" borderId="34" xfId="0" applyNumberFormat="1" applyFont="1" applyFill="1" applyBorder="1" applyAlignment="1">
      <alignment horizontal="center" vertical="center" wrapText="1"/>
    </xf>
    <xf numFmtId="164" fontId="66" fillId="0" borderId="17" xfId="0" applyNumberFormat="1" applyFont="1" applyFill="1" applyBorder="1" applyAlignment="1">
      <alignment horizontal="center" vertical="center" wrapText="1"/>
    </xf>
    <xf numFmtId="164" fontId="73" fillId="35" borderId="17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 wrapText="1"/>
    </xf>
    <xf numFmtId="164" fontId="1" fillId="35" borderId="17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164" fontId="5" fillId="18" borderId="2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 wrapText="1"/>
    </xf>
    <xf numFmtId="0" fontId="73" fillId="35" borderId="2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/>
    </xf>
    <xf numFmtId="0" fontId="73" fillId="0" borderId="21" xfId="0" applyFont="1" applyFill="1" applyBorder="1" applyAlignment="1">
      <alignment horizontal="center" vertical="center" wrapText="1"/>
    </xf>
    <xf numFmtId="164" fontId="7" fillId="18" borderId="37" xfId="0" applyNumberFormat="1" applyFont="1" applyFill="1" applyBorder="1" applyAlignment="1">
      <alignment horizontal="center" vertical="center" wrapText="1"/>
    </xf>
    <xf numFmtId="164" fontId="5" fillId="18" borderId="38" xfId="0" applyNumberFormat="1" applyFont="1" applyFill="1" applyBorder="1" applyAlignment="1">
      <alignment horizontal="center" vertical="center" wrapText="1"/>
    </xf>
    <xf numFmtId="164" fontId="5" fillId="18" borderId="39" xfId="0" applyNumberFormat="1" applyFont="1" applyFill="1" applyBorder="1" applyAlignment="1">
      <alignment horizontal="center" vertical="center" wrapText="1"/>
    </xf>
    <xf numFmtId="164" fontId="63" fillId="35" borderId="17" xfId="0" applyNumberFormat="1" applyFont="1" applyFill="1" applyBorder="1" applyAlignment="1">
      <alignment horizontal="center" vertical="center" wrapText="1"/>
    </xf>
    <xf numFmtId="164" fontId="70" fillId="35" borderId="17" xfId="0" applyNumberFormat="1" applyFont="1" applyFill="1" applyBorder="1" applyAlignment="1">
      <alignment horizontal="center" vertical="center" wrapText="1"/>
    </xf>
    <xf numFmtId="165" fontId="64" fillId="0" borderId="17" xfId="67" applyNumberFormat="1" applyFont="1" applyFill="1" applyBorder="1" applyAlignment="1">
      <alignment horizontal="center" vertical="center" wrapText="1"/>
    </xf>
    <xf numFmtId="4" fontId="73" fillId="0" borderId="40" xfId="0" applyNumberFormat="1" applyFont="1" applyFill="1" applyBorder="1" applyAlignment="1">
      <alignment horizontal="center" vertical="center" wrapText="1"/>
    </xf>
    <xf numFmtId="164" fontId="66" fillId="35" borderId="17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63" fillId="35" borderId="13" xfId="0" applyNumberFormat="1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164" fontId="73" fillId="0" borderId="0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2" fillId="0" borderId="0" xfId="65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Инвестиции Сети Сбыты ЭС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ормула" xfId="69"/>
    <cellStyle name="ФормулаНаКонтроль_GRES.2007.5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87"/>
  <sheetViews>
    <sheetView tabSelected="1" zoomScaleSheetLayoutView="75" zoomScalePageLayoutView="0" workbookViewId="0" topLeftCell="C1">
      <selection activeCell="B39" sqref="B39"/>
    </sheetView>
  </sheetViews>
  <sheetFormatPr defaultColWidth="9.00390625" defaultRowHeight="12.75"/>
  <cols>
    <col min="1" max="1" width="9.125" style="61" customWidth="1"/>
    <col min="2" max="2" width="56.625" style="75" customWidth="1"/>
    <col min="3" max="3" width="14.00390625" style="61" customWidth="1"/>
    <col min="4" max="4" width="21.625" style="64" customWidth="1"/>
    <col min="5" max="5" width="16.875" style="64" customWidth="1"/>
    <col min="6" max="6" width="17.375" style="64" bestFit="1" customWidth="1"/>
    <col min="7" max="7" width="21.75390625" style="64" customWidth="1"/>
    <col min="8" max="8" width="22.00390625" style="64" customWidth="1"/>
    <col min="9" max="9" width="19.00390625" style="64" customWidth="1"/>
    <col min="10" max="10" width="21.375" style="61" customWidth="1"/>
    <col min="11" max="14" width="22.75390625" style="61" customWidth="1"/>
    <col min="15" max="15" width="19.75390625" style="61" customWidth="1"/>
    <col min="16" max="16" width="21.00390625" style="61" hidden="1" customWidth="1"/>
    <col min="17" max="18" width="21.00390625" style="61" customWidth="1"/>
    <col min="19" max="19" width="20.75390625" style="61" customWidth="1"/>
    <col min="20" max="21" width="21.00390625" style="61" customWidth="1"/>
    <col min="22" max="22" width="21.875" style="303" customWidth="1"/>
    <col min="23" max="23" width="12.875" style="61" customWidth="1"/>
    <col min="24" max="24" width="11.00390625" style="63" bestFit="1" customWidth="1"/>
    <col min="25" max="26" width="9.125" style="63" customWidth="1"/>
    <col min="27" max="95" width="9.125" style="53" customWidth="1"/>
    <col min="96" max="16384" width="9.125" style="1" customWidth="1"/>
  </cols>
  <sheetData>
    <row r="1" spans="19:22" ht="15.75">
      <c r="S1" s="401" t="s">
        <v>1</v>
      </c>
      <c r="T1" s="401"/>
      <c r="U1" s="401"/>
      <c r="V1" s="401"/>
    </row>
    <row r="2" spans="19:22" ht="15.75">
      <c r="S2" s="401" t="s">
        <v>7</v>
      </c>
      <c r="T2" s="401"/>
      <c r="U2" s="401"/>
      <c r="V2" s="401"/>
    </row>
    <row r="3" spans="19:22" ht="15.75">
      <c r="S3" s="401" t="s">
        <v>8</v>
      </c>
      <c r="T3" s="401"/>
      <c r="U3" s="401"/>
      <c r="V3" s="401"/>
    </row>
    <row r="6" spans="1:22" ht="20.25">
      <c r="A6" s="402" t="s">
        <v>0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</row>
    <row r="7" spans="1:22" ht="20.25">
      <c r="A7" s="402" t="s">
        <v>208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</row>
    <row r="8" spans="2:22" ht="16.5">
      <c r="B8" s="42"/>
      <c r="C8" s="67"/>
      <c r="P8" s="66"/>
      <c r="Q8" s="66"/>
      <c r="R8" s="66"/>
      <c r="S8" s="42" t="s">
        <v>9</v>
      </c>
      <c r="T8" s="66"/>
      <c r="U8" s="66"/>
      <c r="V8" s="305"/>
    </row>
    <row r="9" spans="2:22" ht="16.5">
      <c r="B9" s="392"/>
      <c r="C9" s="392"/>
      <c r="P9" s="66"/>
      <c r="Q9" s="66"/>
      <c r="R9" s="66"/>
      <c r="S9" s="42" t="s">
        <v>151</v>
      </c>
      <c r="T9" s="66"/>
      <c r="U9" s="66"/>
      <c r="V9" s="305"/>
    </row>
    <row r="10" spans="2:22" ht="16.5">
      <c r="B10" s="42"/>
      <c r="C10" s="67"/>
      <c r="P10" s="66"/>
      <c r="Q10" s="66"/>
      <c r="R10" s="66"/>
      <c r="S10" s="42" t="s">
        <v>10</v>
      </c>
      <c r="T10" s="66"/>
      <c r="U10" s="66"/>
      <c r="V10" s="305"/>
    </row>
    <row r="11" spans="2:22" ht="16.5">
      <c r="B11" s="42"/>
      <c r="C11" s="67"/>
      <c r="G11" s="68"/>
      <c r="P11" s="66"/>
      <c r="Q11" s="66"/>
      <c r="R11" s="66"/>
      <c r="S11" s="42"/>
      <c r="T11" s="66"/>
      <c r="U11" s="66"/>
      <c r="V11" s="305"/>
    </row>
    <row r="12" spans="2:22" ht="16.5">
      <c r="B12" s="42"/>
      <c r="C12" s="67"/>
      <c r="P12" s="66"/>
      <c r="Q12" s="66"/>
      <c r="R12" s="66"/>
      <c r="S12" s="42" t="s">
        <v>145</v>
      </c>
      <c r="T12" s="66" t="s">
        <v>149</v>
      </c>
      <c r="U12" s="66"/>
      <c r="V12" s="305"/>
    </row>
    <row r="13" spans="2:22" ht="16.5">
      <c r="B13" s="42"/>
      <c r="C13" s="67"/>
      <c r="P13" s="66"/>
      <c r="Q13" s="66"/>
      <c r="R13" s="66"/>
      <c r="S13" s="42"/>
      <c r="T13" s="66"/>
      <c r="U13" s="66"/>
      <c r="V13" s="305"/>
    </row>
    <row r="14" spans="2:22" ht="16.5">
      <c r="B14" s="42"/>
      <c r="C14" s="67"/>
      <c r="P14" s="66"/>
      <c r="Q14" s="66"/>
      <c r="R14" s="66"/>
      <c r="S14" s="42" t="s">
        <v>312</v>
      </c>
      <c r="T14" s="66"/>
      <c r="U14" s="66"/>
      <c r="V14" s="305"/>
    </row>
    <row r="15" spans="2:22" ht="16.5">
      <c r="B15" s="42"/>
      <c r="C15" s="67"/>
      <c r="G15" s="68"/>
      <c r="P15" s="69"/>
      <c r="Q15" s="66"/>
      <c r="R15" s="66"/>
      <c r="S15" s="66"/>
      <c r="T15" s="66"/>
      <c r="U15" s="66"/>
      <c r="V15" s="305"/>
    </row>
    <row r="16" spans="2:22" ht="4.5" customHeight="1" thickBot="1">
      <c r="B16" s="42"/>
      <c r="C16" s="67"/>
      <c r="P16" s="66"/>
      <c r="Q16" s="66"/>
      <c r="R16" s="66"/>
      <c r="S16" s="66"/>
      <c r="T16" s="66"/>
      <c r="U16" s="66"/>
      <c r="V16" s="305"/>
    </row>
    <row r="17" spans="1:95" s="7" customFormat="1" ht="16.5" thickBot="1">
      <c r="A17" s="409" t="s">
        <v>11</v>
      </c>
      <c r="B17" s="409" t="s">
        <v>12</v>
      </c>
      <c r="C17" s="393" t="s">
        <v>13</v>
      </c>
      <c r="D17" s="395" t="s">
        <v>14</v>
      </c>
      <c r="E17" s="393" t="s">
        <v>15</v>
      </c>
      <c r="F17" s="388" t="s">
        <v>16</v>
      </c>
      <c r="G17" s="390" t="s">
        <v>17</v>
      </c>
      <c r="H17" s="399" t="s">
        <v>18</v>
      </c>
      <c r="I17" s="388" t="s">
        <v>19</v>
      </c>
      <c r="J17" s="403" t="s">
        <v>20</v>
      </c>
      <c r="K17" s="404"/>
      <c r="L17" s="404"/>
      <c r="M17" s="404"/>
      <c r="N17" s="404"/>
      <c r="O17" s="405"/>
      <c r="P17" s="406" t="s">
        <v>143</v>
      </c>
      <c r="Q17" s="407"/>
      <c r="R17" s="407"/>
      <c r="S17" s="407"/>
      <c r="T17" s="407"/>
      <c r="U17" s="407"/>
      <c r="V17" s="408"/>
      <c r="W17" s="70"/>
      <c r="X17" s="73"/>
      <c r="Y17" s="73"/>
      <c r="Z17" s="73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</row>
    <row r="18" spans="1:95" s="7" customFormat="1" ht="15.75">
      <c r="A18" s="410"/>
      <c r="B18" s="410"/>
      <c r="C18" s="394"/>
      <c r="D18" s="396"/>
      <c r="E18" s="397"/>
      <c r="F18" s="412"/>
      <c r="G18" s="391"/>
      <c r="H18" s="400"/>
      <c r="I18" s="389"/>
      <c r="J18" s="354" t="s">
        <v>21</v>
      </c>
      <c r="K18" s="354" t="s">
        <v>22</v>
      </c>
      <c r="L18" s="354" t="s">
        <v>23</v>
      </c>
      <c r="M18" s="354" t="s">
        <v>124</v>
      </c>
      <c r="N18" s="354" t="s">
        <v>244</v>
      </c>
      <c r="O18" s="239" t="s">
        <v>24</v>
      </c>
      <c r="P18" s="353" t="s">
        <v>25</v>
      </c>
      <c r="Q18" s="240" t="s">
        <v>21</v>
      </c>
      <c r="R18" s="354" t="s">
        <v>22</v>
      </c>
      <c r="S18" s="354" t="s">
        <v>23</v>
      </c>
      <c r="T18" s="354" t="s">
        <v>125</v>
      </c>
      <c r="U18" s="354" t="s">
        <v>245</v>
      </c>
      <c r="V18" s="355" t="s">
        <v>24</v>
      </c>
      <c r="W18" s="70"/>
      <c r="X18" s="73"/>
      <c r="Y18" s="73"/>
      <c r="Z18" s="73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</row>
    <row r="19" spans="1:95" s="7" customFormat="1" ht="32.25" thickBot="1">
      <c r="A19" s="411"/>
      <c r="B19" s="411"/>
      <c r="C19" s="44" t="s">
        <v>26</v>
      </c>
      <c r="D19" s="102" t="s">
        <v>27</v>
      </c>
      <c r="E19" s="398"/>
      <c r="F19" s="413"/>
      <c r="G19" s="84" t="s">
        <v>28</v>
      </c>
      <c r="H19" s="45" t="s">
        <v>28</v>
      </c>
      <c r="I19" s="46" t="s">
        <v>28</v>
      </c>
      <c r="J19" s="45" t="s">
        <v>27</v>
      </c>
      <c r="K19" s="45" t="s">
        <v>27</v>
      </c>
      <c r="L19" s="45" t="s">
        <v>27</v>
      </c>
      <c r="M19" s="45" t="s">
        <v>27</v>
      </c>
      <c r="N19" s="45" t="s">
        <v>27</v>
      </c>
      <c r="O19" s="102" t="s">
        <v>27</v>
      </c>
      <c r="P19" s="330" t="s">
        <v>28</v>
      </c>
      <c r="Q19" s="44" t="s">
        <v>28</v>
      </c>
      <c r="R19" s="45" t="s">
        <v>28</v>
      </c>
      <c r="S19" s="45" t="s">
        <v>28</v>
      </c>
      <c r="T19" s="45" t="s">
        <v>28</v>
      </c>
      <c r="U19" s="45" t="s">
        <v>28</v>
      </c>
      <c r="V19" s="306" t="s">
        <v>28</v>
      </c>
      <c r="W19" s="70"/>
      <c r="X19" s="73"/>
      <c r="Y19" s="73"/>
      <c r="Z19" s="73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</row>
    <row r="20" spans="1:95" s="7" customFormat="1" ht="35.25" customHeight="1">
      <c r="A20" s="77"/>
      <c r="B20" s="77" t="s">
        <v>182</v>
      </c>
      <c r="C20" s="115"/>
      <c r="D20" s="103"/>
      <c r="E20" s="115"/>
      <c r="F20" s="103"/>
      <c r="G20" s="372">
        <f>G22+G219+G279</f>
        <v>598.2242814000001</v>
      </c>
      <c r="H20" s="373"/>
      <c r="I20" s="374"/>
      <c r="J20" s="358"/>
      <c r="K20" s="6"/>
      <c r="L20" s="6"/>
      <c r="M20" s="6"/>
      <c r="N20" s="6"/>
      <c r="O20" s="311"/>
      <c r="P20" s="331" t="e">
        <f aca="true" t="shared" si="0" ref="P20:V20">P22+P219+P279</f>
        <v>#REF!</v>
      </c>
      <c r="Q20" s="323">
        <f t="shared" si="0"/>
        <v>119.6212846</v>
      </c>
      <c r="R20" s="110">
        <f t="shared" si="0"/>
        <v>119.65074919999999</v>
      </c>
      <c r="S20" s="110">
        <f t="shared" si="0"/>
        <v>119.65074919999999</v>
      </c>
      <c r="T20" s="110">
        <f t="shared" si="0"/>
        <v>119.65074919999999</v>
      </c>
      <c r="U20" s="110">
        <f t="shared" si="0"/>
        <v>119.65074919999998</v>
      </c>
      <c r="V20" s="324">
        <f t="shared" si="0"/>
        <v>598.2242814000001</v>
      </c>
      <c r="W20" s="62"/>
      <c r="X20" s="74"/>
      <c r="Y20" s="73"/>
      <c r="Z20" s="73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</row>
    <row r="21" spans="1:95" s="9" customFormat="1" ht="20.25">
      <c r="A21" s="36"/>
      <c r="B21" s="36" t="s">
        <v>29</v>
      </c>
      <c r="C21" s="43"/>
      <c r="D21" s="41"/>
      <c r="E21" s="43"/>
      <c r="F21" s="41"/>
      <c r="G21" s="135">
        <f>G20/1.18</f>
        <v>506.96973000000014</v>
      </c>
      <c r="H21" s="8"/>
      <c r="I21" s="129"/>
      <c r="J21" s="111"/>
      <c r="K21" s="8"/>
      <c r="L21" s="8"/>
      <c r="M21" s="8"/>
      <c r="N21" s="8"/>
      <c r="O21" s="300"/>
      <c r="P21" s="332" t="e">
        <f aca="true" t="shared" si="1" ref="P21:V21">P20/1.18</f>
        <v>#REF!</v>
      </c>
      <c r="Q21" s="135">
        <f t="shared" si="1"/>
        <v>101.37397</v>
      </c>
      <c r="R21" s="111">
        <f t="shared" si="1"/>
        <v>101.39894</v>
      </c>
      <c r="S21" s="111">
        <f t="shared" si="1"/>
        <v>101.39894</v>
      </c>
      <c r="T21" s="111">
        <f t="shared" si="1"/>
        <v>101.39894</v>
      </c>
      <c r="U21" s="111">
        <f>U20/1.18</f>
        <v>101.39893999999998</v>
      </c>
      <c r="V21" s="145">
        <f t="shared" si="1"/>
        <v>506.96973000000014</v>
      </c>
      <c r="W21" s="62"/>
      <c r="X21" s="74"/>
      <c r="Y21" s="73"/>
      <c r="Z21" s="73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</row>
    <row r="22" spans="1:95" s="7" customFormat="1" ht="15.75">
      <c r="A22" s="78">
        <v>1</v>
      </c>
      <c r="B22" s="87" t="s">
        <v>30</v>
      </c>
      <c r="C22" s="116"/>
      <c r="D22" s="104"/>
      <c r="E22" s="116"/>
      <c r="F22" s="104"/>
      <c r="G22" s="132">
        <f>G23+G61+G65+G215</f>
        <v>378.15232260000005</v>
      </c>
      <c r="H22" s="10"/>
      <c r="I22" s="130"/>
      <c r="J22" s="359"/>
      <c r="K22" s="10"/>
      <c r="L22" s="10"/>
      <c r="M22" s="10"/>
      <c r="N22" s="10"/>
      <c r="O22" s="104"/>
      <c r="P22" s="146">
        <f aca="true" t="shared" si="2" ref="P22:V22">P23+P61+P65+P215</f>
        <v>0</v>
      </c>
      <c r="Q22" s="132">
        <f t="shared" si="2"/>
        <v>43.0620586</v>
      </c>
      <c r="R22" s="112">
        <f t="shared" si="2"/>
        <v>87.26651059999999</v>
      </c>
      <c r="S22" s="112">
        <f t="shared" si="2"/>
        <v>88.5274822</v>
      </c>
      <c r="T22" s="112">
        <f t="shared" si="2"/>
        <v>80.19674119999999</v>
      </c>
      <c r="U22" s="112">
        <f t="shared" si="2"/>
        <v>79.09952999999999</v>
      </c>
      <c r="V22" s="325">
        <f t="shared" si="2"/>
        <v>378.15232260000005</v>
      </c>
      <c r="W22" s="62"/>
      <c r="X22" s="74"/>
      <c r="Y22" s="73"/>
      <c r="Z22" s="73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</row>
    <row r="23" spans="1:95" s="7" customFormat="1" ht="31.5">
      <c r="A23" s="78">
        <v>1.1</v>
      </c>
      <c r="B23" s="87" t="s">
        <v>31</v>
      </c>
      <c r="C23" s="116"/>
      <c r="D23" s="104"/>
      <c r="E23" s="116"/>
      <c r="F23" s="104"/>
      <c r="G23" s="132">
        <f>G24+G33+G58</f>
        <v>85.3976266</v>
      </c>
      <c r="H23" s="10"/>
      <c r="I23" s="130"/>
      <c r="J23" s="359"/>
      <c r="K23" s="10"/>
      <c r="L23" s="10"/>
      <c r="M23" s="10"/>
      <c r="N23" s="10"/>
      <c r="O23" s="312"/>
      <c r="P23" s="146">
        <f aca="true" t="shared" si="3" ref="P23:V23">P24+P33+P58</f>
        <v>0</v>
      </c>
      <c r="Q23" s="132">
        <f t="shared" si="3"/>
        <v>15.117735199999998</v>
      </c>
      <c r="R23" s="112">
        <f t="shared" si="3"/>
        <v>20.5341358</v>
      </c>
      <c r="S23" s="112">
        <f t="shared" si="3"/>
        <v>13.0451714</v>
      </c>
      <c r="T23" s="112">
        <f t="shared" si="3"/>
        <v>23.904970999999996</v>
      </c>
      <c r="U23" s="112">
        <f t="shared" si="3"/>
        <v>12.795613199999998</v>
      </c>
      <c r="V23" s="325">
        <f t="shared" si="3"/>
        <v>85.3976266</v>
      </c>
      <c r="W23" s="62"/>
      <c r="X23" s="74"/>
      <c r="Y23" s="73"/>
      <c r="Z23" s="73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</row>
    <row r="24" spans="1:95" s="15" customFormat="1" ht="27.75" customHeight="1">
      <c r="A24" s="79" t="s">
        <v>4</v>
      </c>
      <c r="B24" s="88" t="s">
        <v>33</v>
      </c>
      <c r="C24" s="118"/>
      <c r="D24" s="105"/>
      <c r="E24" s="118"/>
      <c r="F24" s="105"/>
      <c r="G24" s="133">
        <f>G25+G29+G31</f>
        <v>26.8927428</v>
      </c>
      <c r="H24" s="13"/>
      <c r="I24" s="119"/>
      <c r="J24" s="360"/>
      <c r="K24" s="13"/>
      <c r="L24" s="13"/>
      <c r="M24" s="13"/>
      <c r="N24" s="13"/>
      <c r="O24" s="313"/>
      <c r="P24" s="333">
        <f>P25+P29</f>
        <v>0</v>
      </c>
      <c r="Q24" s="133">
        <f aca="true" t="shared" si="4" ref="Q24:V24">Q25+Q29+Q31</f>
        <v>4.2896776</v>
      </c>
      <c r="R24" s="113">
        <f t="shared" si="4"/>
        <v>9.8176</v>
      </c>
      <c r="S24" s="113">
        <f t="shared" si="4"/>
        <v>0</v>
      </c>
      <c r="T24" s="113">
        <f t="shared" si="4"/>
        <v>5.0716399999999995</v>
      </c>
      <c r="U24" s="113">
        <f t="shared" si="4"/>
        <v>7.7138252</v>
      </c>
      <c r="V24" s="144">
        <f t="shared" si="4"/>
        <v>26.8927428</v>
      </c>
      <c r="W24" s="62"/>
      <c r="X24" s="74" t="s">
        <v>126</v>
      </c>
      <c r="Y24" s="63"/>
      <c r="Z24" s="6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</row>
    <row r="25" spans="1:23" ht="29.25" customHeight="1">
      <c r="A25" s="36" t="s">
        <v>141</v>
      </c>
      <c r="B25" s="89" t="s">
        <v>35</v>
      </c>
      <c r="C25" s="120"/>
      <c r="D25" s="106"/>
      <c r="E25" s="120"/>
      <c r="F25" s="106"/>
      <c r="G25" s="135">
        <f>SUM(G26:G28)</f>
        <v>22.6030652</v>
      </c>
      <c r="H25" s="16"/>
      <c r="I25" s="35"/>
      <c r="J25" s="85"/>
      <c r="K25" s="16"/>
      <c r="L25" s="16"/>
      <c r="M25" s="16"/>
      <c r="N25" s="16"/>
      <c r="O25" s="162"/>
      <c r="P25" s="161"/>
      <c r="Q25" s="135">
        <f aca="true" t="shared" si="5" ref="Q25:V25">SUM(Q26:Q28)</f>
        <v>0</v>
      </c>
      <c r="R25" s="135">
        <f t="shared" si="5"/>
        <v>9.8176</v>
      </c>
      <c r="S25" s="135">
        <f t="shared" si="5"/>
        <v>0</v>
      </c>
      <c r="T25" s="135">
        <f t="shared" si="5"/>
        <v>5.0716399999999995</v>
      </c>
      <c r="U25" s="135">
        <f t="shared" si="5"/>
        <v>7.7138252</v>
      </c>
      <c r="V25" s="135">
        <f t="shared" si="5"/>
        <v>22.6030652</v>
      </c>
      <c r="W25" s="62"/>
    </row>
    <row r="26" spans="1:95" s="196" customFormat="1" ht="15.75">
      <c r="A26" s="178">
        <v>1</v>
      </c>
      <c r="B26" s="187" t="s">
        <v>259</v>
      </c>
      <c r="C26" s="188" t="s">
        <v>36</v>
      </c>
      <c r="D26" s="189" t="s">
        <v>37</v>
      </c>
      <c r="E26" s="188">
        <v>2015</v>
      </c>
      <c r="F26" s="198">
        <v>2015</v>
      </c>
      <c r="G26" s="349">
        <f>8.32*1.18</f>
        <v>9.8176</v>
      </c>
      <c r="H26" s="191"/>
      <c r="I26" s="190"/>
      <c r="J26" s="299"/>
      <c r="K26" s="192" t="s">
        <v>46</v>
      </c>
      <c r="L26" s="191"/>
      <c r="M26" s="191"/>
      <c r="N26" s="191"/>
      <c r="O26" s="298" t="s">
        <v>46</v>
      </c>
      <c r="P26" s="334"/>
      <c r="Q26" s="349"/>
      <c r="R26" s="184">
        <f>G26</f>
        <v>9.8176</v>
      </c>
      <c r="S26" s="191"/>
      <c r="T26" s="191"/>
      <c r="U26" s="191"/>
      <c r="V26" s="194">
        <f>SUM(P26:S26)</f>
        <v>9.8176</v>
      </c>
      <c r="W26" s="195"/>
      <c r="X26" s="185"/>
      <c r="Y26" s="185"/>
      <c r="Z26" s="185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</row>
    <row r="27" spans="1:95" s="224" customFormat="1" ht="15.75">
      <c r="A27" s="210">
        <f>A26+1</f>
        <v>2</v>
      </c>
      <c r="B27" s="211" t="s">
        <v>316</v>
      </c>
      <c r="C27" s="215" t="s">
        <v>36</v>
      </c>
      <c r="D27" s="216" t="s">
        <v>127</v>
      </c>
      <c r="E27" s="215">
        <v>2017</v>
      </c>
      <c r="F27" s="214">
        <v>2017</v>
      </c>
      <c r="G27" s="375">
        <f>4.298*1.18</f>
        <v>5.0716399999999995</v>
      </c>
      <c r="H27" s="218"/>
      <c r="I27" s="217"/>
      <c r="J27" s="361"/>
      <c r="K27" s="219"/>
      <c r="L27" s="220"/>
      <c r="M27" s="221" t="str">
        <f>D27</f>
        <v>1,96 км</v>
      </c>
      <c r="N27" s="221"/>
      <c r="O27" s="222" t="s">
        <v>129</v>
      </c>
      <c r="P27" s="335"/>
      <c r="Q27" s="223"/>
      <c r="R27" s="221"/>
      <c r="S27" s="225"/>
      <c r="T27" s="212">
        <f>G27</f>
        <v>5.0716399999999995</v>
      </c>
      <c r="U27" s="212"/>
      <c r="V27" s="307">
        <f>T27</f>
        <v>5.0716399999999995</v>
      </c>
      <c r="W27" s="213"/>
      <c r="X27" s="72"/>
      <c r="Y27" s="72"/>
      <c r="Z27" s="72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</row>
    <row r="28" spans="1:95" s="236" customFormat="1" ht="15.75">
      <c r="A28" s="241">
        <v>3</v>
      </c>
      <c r="B28" s="205" t="s">
        <v>321</v>
      </c>
      <c r="C28" s="226" t="s">
        <v>36</v>
      </c>
      <c r="D28" s="227" t="s">
        <v>156</v>
      </c>
      <c r="E28" s="226">
        <v>2018</v>
      </c>
      <c r="F28" s="310">
        <v>2018</v>
      </c>
      <c r="G28" s="376">
        <f>6.53714*1.18</f>
        <v>7.7138252</v>
      </c>
      <c r="H28" s="229"/>
      <c r="I28" s="228"/>
      <c r="J28" s="363"/>
      <c r="K28" s="230"/>
      <c r="L28" s="231"/>
      <c r="M28" s="232"/>
      <c r="N28" s="232" t="str">
        <f>D28</f>
        <v>4,4 км</v>
      </c>
      <c r="O28" s="233" t="str">
        <f>D28</f>
        <v>4,4 км</v>
      </c>
      <c r="P28" s="337"/>
      <c r="Q28" s="234"/>
      <c r="R28" s="232"/>
      <c r="S28" s="235"/>
      <c r="T28" s="206"/>
      <c r="U28" s="206">
        <f>G28</f>
        <v>7.7138252</v>
      </c>
      <c r="V28" s="308">
        <f>SUM(Q28:U28)</f>
        <v>7.7138252</v>
      </c>
      <c r="W28" s="207"/>
      <c r="X28" s="208"/>
      <c r="Y28" s="208"/>
      <c r="Z28" s="208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</row>
    <row r="29" spans="1:95" s="9" customFormat="1" ht="15.75">
      <c r="A29" s="36" t="s">
        <v>142</v>
      </c>
      <c r="B29" s="92" t="s">
        <v>39</v>
      </c>
      <c r="C29" s="43"/>
      <c r="D29" s="41"/>
      <c r="E29" s="43"/>
      <c r="F29" s="41"/>
      <c r="G29" s="135">
        <f>G30</f>
        <v>4.2896776</v>
      </c>
      <c r="H29" s="3"/>
      <c r="I29" s="4"/>
      <c r="J29" s="362"/>
      <c r="K29" s="3"/>
      <c r="L29" s="3"/>
      <c r="M29" s="49"/>
      <c r="N29" s="49"/>
      <c r="O29" s="143"/>
      <c r="P29" s="161"/>
      <c r="Q29" s="135">
        <f aca="true" t="shared" si="6" ref="Q29:V29">Q30</f>
        <v>4.2896776</v>
      </c>
      <c r="R29" s="111">
        <f t="shared" si="6"/>
        <v>0</v>
      </c>
      <c r="S29" s="111">
        <f t="shared" si="6"/>
        <v>0</v>
      </c>
      <c r="T29" s="111">
        <f t="shared" si="6"/>
        <v>0</v>
      </c>
      <c r="U29" s="111">
        <f t="shared" si="6"/>
        <v>0</v>
      </c>
      <c r="V29" s="145">
        <f t="shared" si="6"/>
        <v>4.2896776</v>
      </c>
      <c r="W29" s="62"/>
      <c r="X29" s="73"/>
      <c r="Y29" s="73"/>
      <c r="Z29" s="73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</row>
    <row r="30" spans="1:95" s="254" customFormat="1" ht="42" customHeight="1">
      <c r="A30" s="241">
        <v>1</v>
      </c>
      <c r="B30" s="242" t="s">
        <v>187</v>
      </c>
      <c r="C30" s="243" t="s">
        <v>36</v>
      </c>
      <c r="D30" s="244" t="s">
        <v>136</v>
      </c>
      <c r="E30" s="243">
        <v>2014</v>
      </c>
      <c r="F30" s="244">
        <v>2014</v>
      </c>
      <c r="G30" s="248">
        <f>3.63532*1.18</f>
        <v>4.2896776</v>
      </c>
      <c r="H30" s="247"/>
      <c r="I30" s="245"/>
      <c r="J30" s="277" t="str">
        <f>D30</f>
        <v>3,5 км</v>
      </c>
      <c r="K30" s="247"/>
      <c r="L30" s="247"/>
      <c r="M30" s="255"/>
      <c r="N30" s="255"/>
      <c r="O30" s="256" t="str">
        <f>J30</f>
        <v>3,5 км</v>
      </c>
      <c r="P30" s="336"/>
      <c r="Q30" s="257">
        <f>G30</f>
        <v>4.2896776</v>
      </c>
      <c r="R30" s="247"/>
      <c r="S30" s="247"/>
      <c r="T30" s="249"/>
      <c r="U30" s="249"/>
      <c r="V30" s="250">
        <f>SUM(P30:S30)</f>
        <v>4.2896776</v>
      </c>
      <c r="W30" s="251"/>
      <c r="X30" s="252"/>
      <c r="Y30" s="252"/>
      <c r="Z30" s="252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</row>
    <row r="31" spans="1:95" s="9" customFormat="1" ht="15.75">
      <c r="A31" s="36" t="s">
        <v>231</v>
      </c>
      <c r="B31" s="92" t="s">
        <v>211</v>
      </c>
      <c r="C31" s="43"/>
      <c r="D31" s="41"/>
      <c r="E31" s="43"/>
      <c r="F31" s="41"/>
      <c r="G31" s="135">
        <f>G32</f>
        <v>0</v>
      </c>
      <c r="H31" s="3"/>
      <c r="I31" s="4"/>
      <c r="J31" s="362"/>
      <c r="K31" s="3"/>
      <c r="L31" s="3"/>
      <c r="M31" s="49"/>
      <c r="N31" s="49"/>
      <c r="O31" s="143"/>
      <c r="P31" s="161"/>
      <c r="Q31" s="135">
        <f aca="true" t="shared" si="7" ref="Q31:V31">Q32</f>
        <v>0</v>
      </c>
      <c r="R31" s="111">
        <f t="shared" si="7"/>
        <v>0</v>
      </c>
      <c r="S31" s="111">
        <f t="shared" si="7"/>
        <v>0</v>
      </c>
      <c r="T31" s="111">
        <f t="shared" si="7"/>
        <v>0</v>
      </c>
      <c r="U31" s="111">
        <f t="shared" si="7"/>
        <v>0</v>
      </c>
      <c r="V31" s="145">
        <f t="shared" si="7"/>
        <v>0</v>
      </c>
      <c r="W31" s="62"/>
      <c r="X31" s="73"/>
      <c r="Y31" s="73"/>
      <c r="Z31" s="73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</row>
    <row r="32" spans="1:95" s="236" customFormat="1" ht="15.75">
      <c r="A32" s="204"/>
      <c r="B32" s="205"/>
      <c r="C32" s="226"/>
      <c r="D32" s="227"/>
      <c r="E32" s="226"/>
      <c r="F32" s="310"/>
      <c r="G32" s="376"/>
      <c r="H32" s="229"/>
      <c r="I32" s="228"/>
      <c r="J32" s="363"/>
      <c r="K32" s="230"/>
      <c r="L32" s="231"/>
      <c r="M32" s="232"/>
      <c r="N32" s="232"/>
      <c r="O32" s="233"/>
      <c r="P32" s="337"/>
      <c r="Q32" s="234"/>
      <c r="R32" s="232"/>
      <c r="S32" s="235"/>
      <c r="T32" s="206"/>
      <c r="U32" s="206"/>
      <c r="V32" s="308"/>
      <c r="W32" s="207"/>
      <c r="X32" s="208"/>
      <c r="Y32" s="208"/>
      <c r="Z32" s="208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</row>
    <row r="33" spans="1:95" s="19" customFormat="1" ht="21" customHeight="1">
      <c r="A33" s="79" t="s">
        <v>32</v>
      </c>
      <c r="B33" s="93" t="s">
        <v>40</v>
      </c>
      <c r="C33" s="123"/>
      <c r="D33" s="107"/>
      <c r="E33" s="123"/>
      <c r="F33" s="107"/>
      <c r="G33" s="133">
        <f>G34</f>
        <v>58.50488379999999</v>
      </c>
      <c r="H33" s="12"/>
      <c r="I33" s="124"/>
      <c r="J33" s="364"/>
      <c r="K33" s="12"/>
      <c r="L33" s="12"/>
      <c r="M33" s="12"/>
      <c r="N33" s="12"/>
      <c r="O33" s="314"/>
      <c r="P33" s="333">
        <f aca="true" t="shared" si="8" ref="P33:U33">P34</f>
        <v>0</v>
      </c>
      <c r="Q33" s="133">
        <f t="shared" si="8"/>
        <v>10.8280576</v>
      </c>
      <c r="R33" s="14">
        <f t="shared" si="8"/>
        <v>10.716535799999999</v>
      </c>
      <c r="S33" s="14">
        <f t="shared" si="8"/>
        <v>13.0451714</v>
      </c>
      <c r="T33" s="14">
        <f t="shared" si="8"/>
        <v>18.833330999999998</v>
      </c>
      <c r="U33" s="14">
        <f t="shared" si="8"/>
        <v>5.0817879999999995</v>
      </c>
      <c r="V33" s="134">
        <f>T33+S33+R33+Q33+P33+U33</f>
        <v>58.50488379999999</v>
      </c>
      <c r="W33" s="62"/>
      <c r="X33" s="73"/>
      <c r="Y33" s="73"/>
      <c r="Z33" s="73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</row>
    <row r="34" spans="1:95" s="2" customFormat="1" ht="15.75">
      <c r="A34" s="36" t="s">
        <v>34</v>
      </c>
      <c r="B34" s="92" t="s">
        <v>35</v>
      </c>
      <c r="C34" s="120"/>
      <c r="D34" s="106"/>
      <c r="E34" s="120"/>
      <c r="F34" s="106"/>
      <c r="G34" s="135">
        <f>SUM(G35:G57)</f>
        <v>58.50488379999999</v>
      </c>
      <c r="H34" s="16"/>
      <c r="I34" s="35"/>
      <c r="J34" s="85"/>
      <c r="K34" s="16"/>
      <c r="L34" s="16"/>
      <c r="M34" s="16"/>
      <c r="N34" s="16"/>
      <c r="O34" s="162"/>
      <c r="P34" s="161">
        <f>SUM(P35:P47)</f>
        <v>0</v>
      </c>
      <c r="Q34" s="135">
        <f aca="true" t="shared" si="9" ref="Q34:V34">SUM(Q35:Q57)</f>
        <v>10.8280576</v>
      </c>
      <c r="R34" s="135">
        <f t="shared" si="9"/>
        <v>10.716535799999999</v>
      </c>
      <c r="S34" s="135">
        <f t="shared" si="9"/>
        <v>13.0451714</v>
      </c>
      <c r="T34" s="135">
        <f t="shared" si="9"/>
        <v>18.833330999999998</v>
      </c>
      <c r="U34" s="135">
        <f t="shared" si="9"/>
        <v>5.0817879999999995</v>
      </c>
      <c r="V34" s="135">
        <f t="shared" si="9"/>
        <v>58.50488379999999</v>
      </c>
      <c r="W34" s="62"/>
      <c r="X34" s="63"/>
      <c r="Y34" s="63"/>
      <c r="Z34" s="6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</row>
    <row r="35" spans="1:95" s="254" customFormat="1" ht="15.75">
      <c r="A35" s="241">
        <v>1</v>
      </c>
      <c r="B35" s="242" t="s">
        <v>41</v>
      </c>
      <c r="C35" s="243" t="s">
        <v>36</v>
      </c>
      <c r="D35" s="244" t="s">
        <v>161</v>
      </c>
      <c r="E35" s="243">
        <v>2014</v>
      </c>
      <c r="F35" s="244">
        <v>2014</v>
      </c>
      <c r="G35" s="257">
        <f>2.41215*1.18</f>
        <v>2.8463369999999997</v>
      </c>
      <c r="H35" s="247"/>
      <c r="I35" s="245"/>
      <c r="J35" s="365" t="str">
        <f>D35</f>
        <v>1,33 км</v>
      </c>
      <c r="K35" s="247"/>
      <c r="L35" s="247"/>
      <c r="M35" s="247"/>
      <c r="N35" s="247"/>
      <c r="O35" s="256" t="str">
        <f>J35</f>
        <v>1,33 км</v>
      </c>
      <c r="P35" s="338"/>
      <c r="Q35" s="257">
        <f>G35</f>
        <v>2.8463369999999997</v>
      </c>
      <c r="R35" s="247"/>
      <c r="S35" s="247"/>
      <c r="T35" s="247"/>
      <c r="U35" s="247"/>
      <c r="V35" s="250">
        <f aca="true" t="shared" si="10" ref="V35:V46">SUM(P35:S35)</f>
        <v>2.8463369999999997</v>
      </c>
      <c r="W35" s="251"/>
      <c r="X35" s="252"/>
      <c r="Y35" s="252"/>
      <c r="Z35" s="252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</row>
    <row r="36" spans="1:95" s="254" customFormat="1" ht="15.75">
      <c r="A36" s="241">
        <f aca="true" t="shared" si="11" ref="A36:A55">A35+1</f>
        <v>2</v>
      </c>
      <c r="B36" s="242" t="s">
        <v>42</v>
      </c>
      <c r="C36" s="243" t="s">
        <v>36</v>
      </c>
      <c r="D36" s="244" t="s">
        <v>43</v>
      </c>
      <c r="E36" s="243">
        <v>2014</v>
      </c>
      <c r="F36" s="244">
        <v>2014</v>
      </c>
      <c r="G36" s="257">
        <f>3.4009*1.18</f>
        <v>4.013062</v>
      </c>
      <c r="H36" s="247"/>
      <c r="I36" s="245"/>
      <c r="J36" s="365" t="str">
        <f>D36</f>
        <v>2,49 км</v>
      </c>
      <c r="K36" s="247"/>
      <c r="L36" s="247"/>
      <c r="M36" s="247"/>
      <c r="N36" s="247"/>
      <c r="O36" s="256" t="str">
        <f>J36</f>
        <v>2,49 км</v>
      </c>
      <c r="P36" s="338"/>
      <c r="Q36" s="257">
        <f>G36</f>
        <v>4.013062</v>
      </c>
      <c r="R36" s="247" t="s">
        <v>126</v>
      </c>
      <c r="S36" s="247"/>
      <c r="T36" s="247"/>
      <c r="U36" s="247"/>
      <c r="V36" s="250">
        <f t="shared" si="10"/>
        <v>4.013062</v>
      </c>
      <c r="W36" s="251"/>
      <c r="X36" s="252"/>
      <c r="Y36" s="252"/>
      <c r="Z36" s="252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</row>
    <row r="37" spans="1:95" s="254" customFormat="1" ht="15.75">
      <c r="A37" s="241">
        <f t="shared" si="11"/>
        <v>3</v>
      </c>
      <c r="B37" s="242" t="s">
        <v>44</v>
      </c>
      <c r="C37" s="243" t="s">
        <v>36</v>
      </c>
      <c r="D37" s="244" t="s">
        <v>162</v>
      </c>
      <c r="E37" s="243">
        <v>2014</v>
      </c>
      <c r="F37" s="244">
        <v>2014</v>
      </c>
      <c r="G37" s="257">
        <f>2.87827*1.18</f>
        <v>3.3963586</v>
      </c>
      <c r="H37" s="247"/>
      <c r="I37" s="245"/>
      <c r="J37" s="365" t="str">
        <f>D37</f>
        <v>1,9 км</v>
      </c>
      <c r="K37" s="247"/>
      <c r="L37" s="247"/>
      <c r="M37" s="247"/>
      <c r="N37" s="247"/>
      <c r="O37" s="256" t="str">
        <f>J37</f>
        <v>1,9 км</v>
      </c>
      <c r="P37" s="338"/>
      <c r="Q37" s="257">
        <f>G37</f>
        <v>3.3963586</v>
      </c>
      <c r="R37" s="247"/>
      <c r="S37" s="247"/>
      <c r="T37" s="247"/>
      <c r="U37" s="247"/>
      <c r="V37" s="250">
        <f t="shared" si="10"/>
        <v>3.3963586</v>
      </c>
      <c r="W37" s="251"/>
      <c r="X37" s="252" t="s">
        <v>126</v>
      </c>
      <c r="Y37" s="252"/>
      <c r="Z37" s="252"/>
      <c r="AA37" s="253"/>
      <c r="AB37" s="253" t="s">
        <v>126</v>
      </c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</row>
    <row r="38" spans="1:95" s="254" customFormat="1" ht="15.75">
      <c r="A38" s="241">
        <f t="shared" si="11"/>
        <v>4</v>
      </c>
      <c r="B38" s="242" t="s">
        <v>313</v>
      </c>
      <c r="C38" s="243" t="s">
        <v>59</v>
      </c>
      <c r="D38" s="244" t="s">
        <v>46</v>
      </c>
      <c r="E38" s="243">
        <v>2014</v>
      </c>
      <c r="F38" s="244">
        <v>2014</v>
      </c>
      <c r="G38" s="257">
        <f>0.294*1.18</f>
        <v>0.34691999999999995</v>
      </c>
      <c r="H38" s="247"/>
      <c r="I38" s="245"/>
      <c r="J38" s="277" t="str">
        <f>D38</f>
        <v>2,897 км</v>
      </c>
      <c r="K38" s="247"/>
      <c r="L38" s="247"/>
      <c r="M38" s="247"/>
      <c r="N38" s="247"/>
      <c r="O38" s="256" t="s">
        <v>46</v>
      </c>
      <c r="P38" s="338"/>
      <c r="Q38" s="257">
        <f>G38</f>
        <v>0.34691999999999995</v>
      </c>
      <c r="R38" s="247"/>
      <c r="S38" s="247"/>
      <c r="T38" s="247"/>
      <c r="U38" s="247"/>
      <c r="V38" s="250">
        <f t="shared" si="10"/>
        <v>0.34691999999999995</v>
      </c>
      <c r="W38" s="251"/>
      <c r="X38" s="252"/>
      <c r="Y38" s="252"/>
      <c r="Z38" s="252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</row>
    <row r="39" spans="1:95" s="196" customFormat="1" ht="15.75">
      <c r="A39" s="241">
        <f t="shared" si="11"/>
        <v>5</v>
      </c>
      <c r="B39" s="187" t="s">
        <v>313</v>
      </c>
      <c r="C39" s="188" t="s">
        <v>36</v>
      </c>
      <c r="D39" s="189" t="s">
        <v>46</v>
      </c>
      <c r="E39" s="188">
        <v>2015</v>
      </c>
      <c r="F39" s="198">
        <v>2015</v>
      </c>
      <c r="G39" s="349">
        <f>5.16106*1.18</f>
        <v>6.090050799999999</v>
      </c>
      <c r="H39" s="191"/>
      <c r="I39" s="190"/>
      <c r="J39" s="299"/>
      <c r="K39" s="192" t="s">
        <v>46</v>
      </c>
      <c r="L39" s="191"/>
      <c r="M39" s="191"/>
      <c r="N39" s="191"/>
      <c r="O39" s="298" t="s">
        <v>46</v>
      </c>
      <c r="P39" s="334"/>
      <c r="Q39" s="349"/>
      <c r="R39" s="184">
        <f>G39</f>
        <v>6.090050799999999</v>
      </c>
      <c r="S39" s="191"/>
      <c r="T39" s="191"/>
      <c r="U39" s="191"/>
      <c r="V39" s="194">
        <f t="shared" si="10"/>
        <v>6.090050799999999</v>
      </c>
      <c r="W39" s="195"/>
      <c r="X39" s="185"/>
      <c r="Y39" s="185"/>
      <c r="Z39" s="185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</row>
    <row r="40" spans="1:95" s="254" customFormat="1" ht="15.75">
      <c r="A40" s="241">
        <f t="shared" si="11"/>
        <v>6</v>
      </c>
      <c r="B40" s="276" t="s">
        <v>47</v>
      </c>
      <c r="C40" s="243" t="s">
        <v>59</v>
      </c>
      <c r="D40" s="272" t="s">
        <v>48</v>
      </c>
      <c r="E40" s="243">
        <v>2014</v>
      </c>
      <c r="F40" s="244">
        <v>2014</v>
      </c>
      <c r="G40" s="257">
        <f>0.191*1.18</f>
        <v>0.22538</v>
      </c>
      <c r="H40" s="247"/>
      <c r="I40" s="245"/>
      <c r="J40" s="277" t="str">
        <f>D40</f>
        <v>1,886 км</v>
      </c>
      <c r="K40" s="273"/>
      <c r="L40" s="247"/>
      <c r="M40" s="247"/>
      <c r="N40" s="247"/>
      <c r="O40" s="256" t="str">
        <f>J40</f>
        <v>1,886 км</v>
      </c>
      <c r="P40" s="338"/>
      <c r="Q40" s="257">
        <f>G40</f>
        <v>0.22538</v>
      </c>
      <c r="R40" s="249"/>
      <c r="S40" s="247"/>
      <c r="T40" s="247"/>
      <c r="U40" s="247"/>
      <c r="V40" s="250">
        <f>SUM(P40:S40)</f>
        <v>0.22538</v>
      </c>
      <c r="W40" s="251"/>
      <c r="X40" s="252"/>
      <c r="Y40" s="252"/>
      <c r="Z40" s="252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</row>
    <row r="41" spans="1:95" s="196" customFormat="1" ht="15.75">
      <c r="A41" s="241">
        <f t="shared" si="11"/>
        <v>7</v>
      </c>
      <c r="B41" s="187" t="s">
        <v>47</v>
      </c>
      <c r="C41" s="188" t="s">
        <v>36</v>
      </c>
      <c r="D41" s="189" t="s">
        <v>48</v>
      </c>
      <c r="E41" s="188">
        <v>2015</v>
      </c>
      <c r="F41" s="198">
        <v>2015</v>
      </c>
      <c r="G41" s="349">
        <f>3.35995*1.18</f>
        <v>3.9647409999999996</v>
      </c>
      <c r="H41" s="191"/>
      <c r="I41" s="190"/>
      <c r="J41" s="299"/>
      <c r="K41" s="192" t="s">
        <v>48</v>
      </c>
      <c r="L41" s="191"/>
      <c r="M41" s="191"/>
      <c r="N41" s="191"/>
      <c r="O41" s="298" t="s">
        <v>48</v>
      </c>
      <c r="P41" s="334"/>
      <c r="Q41" s="349"/>
      <c r="R41" s="184">
        <f>G41</f>
        <v>3.9647409999999996</v>
      </c>
      <c r="S41" s="191"/>
      <c r="T41" s="191"/>
      <c r="U41" s="191"/>
      <c r="V41" s="194">
        <f t="shared" si="10"/>
        <v>3.9647409999999996</v>
      </c>
      <c r="W41" s="195"/>
      <c r="X41" s="185"/>
      <c r="Y41" s="185"/>
      <c r="Z41" s="185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</row>
    <row r="42" spans="1:95" s="196" customFormat="1" ht="15.75">
      <c r="A42" s="241">
        <f t="shared" si="11"/>
        <v>8</v>
      </c>
      <c r="B42" s="187" t="s">
        <v>49</v>
      </c>
      <c r="C42" s="188" t="s">
        <v>59</v>
      </c>
      <c r="D42" s="189" t="s">
        <v>50</v>
      </c>
      <c r="E42" s="188">
        <v>2015</v>
      </c>
      <c r="F42" s="198">
        <v>2015</v>
      </c>
      <c r="G42" s="349">
        <f>0.20501*1.18</f>
        <v>0.24191179999999998</v>
      </c>
      <c r="H42" s="191"/>
      <c r="I42" s="190"/>
      <c r="J42" s="299"/>
      <c r="K42" s="192" t="s">
        <v>48</v>
      </c>
      <c r="L42" s="191"/>
      <c r="M42" s="191"/>
      <c r="N42" s="191"/>
      <c r="O42" s="298" t="s">
        <v>48</v>
      </c>
      <c r="P42" s="334"/>
      <c r="Q42" s="349"/>
      <c r="R42" s="184">
        <f>G42</f>
        <v>0.24191179999999998</v>
      </c>
      <c r="S42" s="191"/>
      <c r="T42" s="191"/>
      <c r="U42" s="191"/>
      <c r="V42" s="194">
        <f>SUM(P42:S42)</f>
        <v>0.24191179999999998</v>
      </c>
      <c r="W42" s="195"/>
      <c r="X42" s="185"/>
      <c r="Y42" s="185"/>
      <c r="Z42" s="185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</row>
    <row r="43" spans="1:95" s="163" customFormat="1" ht="15.75">
      <c r="A43" s="241">
        <f t="shared" si="11"/>
        <v>9</v>
      </c>
      <c r="B43" s="238" t="s">
        <v>49</v>
      </c>
      <c r="C43" s="121" t="s">
        <v>36</v>
      </c>
      <c r="D43" s="296" t="s">
        <v>50</v>
      </c>
      <c r="E43" s="121">
        <v>2016</v>
      </c>
      <c r="F43" s="58">
        <v>2016</v>
      </c>
      <c r="G43" s="352">
        <f>3.73335*1.18</f>
        <v>4.405353</v>
      </c>
      <c r="H43" s="49"/>
      <c r="I43" s="122"/>
      <c r="J43" s="86"/>
      <c r="K43" s="60"/>
      <c r="L43" s="50" t="str">
        <f>D43</f>
        <v>2,015 км</v>
      </c>
      <c r="M43" s="59"/>
      <c r="N43" s="59"/>
      <c r="O43" s="297" t="str">
        <f aca="true" t="shared" si="12" ref="O43:O48">D43</f>
        <v>2,015 км</v>
      </c>
      <c r="P43" s="302"/>
      <c r="Q43" s="137"/>
      <c r="R43" s="59"/>
      <c r="S43" s="150">
        <f>G43</f>
        <v>4.405353</v>
      </c>
      <c r="T43" s="17"/>
      <c r="U43" s="17"/>
      <c r="V43" s="131">
        <f>SUM(P43:T43)</f>
        <v>4.405353</v>
      </c>
      <c r="W43" s="62"/>
      <c r="X43" s="63"/>
      <c r="Y43" s="63"/>
      <c r="Z43" s="6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</row>
    <row r="44" spans="1:95" s="196" customFormat="1" ht="15.75">
      <c r="A44" s="241">
        <f t="shared" si="11"/>
        <v>10</v>
      </c>
      <c r="B44" s="187" t="s">
        <v>51</v>
      </c>
      <c r="C44" s="188" t="s">
        <v>59</v>
      </c>
      <c r="D44" s="189" t="s">
        <v>188</v>
      </c>
      <c r="E44" s="188">
        <v>2015</v>
      </c>
      <c r="F44" s="198">
        <v>2015</v>
      </c>
      <c r="G44" s="349">
        <f>0.21264*1.18</f>
        <v>0.2509152</v>
      </c>
      <c r="H44" s="191"/>
      <c r="I44" s="190"/>
      <c r="J44" s="299"/>
      <c r="K44" s="191" t="str">
        <f>D44</f>
        <v>2,090 км</v>
      </c>
      <c r="L44" s="192"/>
      <c r="M44" s="192"/>
      <c r="N44" s="192"/>
      <c r="O44" s="298" t="str">
        <f t="shared" si="12"/>
        <v>2,090 км</v>
      </c>
      <c r="P44" s="334"/>
      <c r="Q44" s="349"/>
      <c r="R44" s="184">
        <f>G44</f>
        <v>0.2509152</v>
      </c>
      <c r="S44" s="184"/>
      <c r="T44" s="191"/>
      <c r="U44" s="191"/>
      <c r="V44" s="194">
        <f>SUM(P44:S44)</f>
        <v>0.2509152</v>
      </c>
      <c r="W44" s="195"/>
      <c r="X44" s="185"/>
      <c r="Y44" s="185"/>
      <c r="Z44" s="185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</row>
    <row r="45" spans="1:95" s="2" customFormat="1" ht="15.75">
      <c r="A45" s="241">
        <f t="shared" si="11"/>
        <v>11</v>
      </c>
      <c r="B45" s="238" t="s">
        <v>51</v>
      </c>
      <c r="C45" s="120" t="s">
        <v>36</v>
      </c>
      <c r="D45" s="237" t="s">
        <v>188</v>
      </c>
      <c r="E45" s="120">
        <v>2016</v>
      </c>
      <c r="F45" s="106">
        <v>2016</v>
      </c>
      <c r="G45" s="136">
        <f>3.87231*1.18</f>
        <v>4.5693258</v>
      </c>
      <c r="H45" s="16"/>
      <c r="I45" s="35"/>
      <c r="J45" s="85"/>
      <c r="K45" s="16"/>
      <c r="L45" s="26" t="str">
        <f>D45</f>
        <v>2,090 км</v>
      </c>
      <c r="M45" s="26"/>
      <c r="N45" s="26"/>
      <c r="O45" s="297" t="str">
        <f t="shared" si="12"/>
        <v>2,090 км</v>
      </c>
      <c r="P45" s="339"/>
      <c r="Q45" s="136"/>
      <c r="R45" s="16"/>
      <c r="S45" s="17">
        <f>G45</f>
        <v>4.5693258</v>
      </c>
      <c r="T45" s="16"/>
      <c r="U45" s="16"/>
      <c r="V45" s="131">
        <f t="shared" si="10"/>
        <v>4.5693258</v>
      </c>
      <c r="W45" s="62"/>
      <c r="X45" s="63"/>
      <c r="Y45" s="63"/>
      <c r="Z45" s="6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</row>
    <row r="46" spans="1:95" s="196" customFormat="1" ht="15.75">
      <c r="A46" s="241">
        <f t="shared" si="11"/>
        <v>12</v>
      </c>
      <c r="B46" s="187" t="s">
        <v>52</v>
      </c>
      <c r="C46" s="188" t="s">
        <v>59</v>
      </c>
      <c r="D46" s="189" t="s">
        <v>53</v>
      </c>
      <c r="E46" s="188">
        <v>2015</v>
      </c>
      <c r="F46" s="198">
        <v>2015</v>
      </c>
      <c r="G46" s="349">
        <f>0.14315*1.18</f>
        <v>0.16891699999999998</v>
      </c>
      <c r="H46" s="191"/>
      <c r="I46" s="190"/>
      <c r="J46" s="299"/>
      <c r="K46" s="191" t="str">
        <f>D46</f>
        <v>1,407 км</v>
      </c>
      <c r="L46" s="192"/>
      <c r="M46" s="192"/>
      <c r="N46" s="192"/>
      <c r="O46" s="298" t="str">
        <f t="shared" si="12"/>
        <v>1,407 км</v>
      </c>
      <c r="P46" s="334"/>
      <c r="Q46" s="349"/>
      <c r="R46" s="184">
        <f>G46</f>
        <v>0.16891699999999998</v>
      </c>
      <c r="S46" s="184"/>
      <c r="T46" s="191"/>
      <c r="U46" s="191"/>
      <c r="V46" s="194">
        <f t="shared" si="10"/>
        <v>0.16891699999999998</v>
      </c>
      <c r="W46" s="195"/>
      <c r="X46" s="185"/>
      <c r="Y46" s="185"/>
      <c r="Z46" s="185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</row>
    <row r="47" spans="1:95" s="2" customFormat="1" ht="15.75">
      <c r="A47" s="241">
        <f t="shared" si="11"/>
        <v>13</v>
      </c>
      <c r="B47" s="238" t="s">
        <v>52</v>
      </c>
      <c r="C47" s="120" t="s">
        <v>36</v>
      </c>
      <c r="D47" s="237" t="s">
        <v>53</v>
      </c>
      <c r="E47" s="120">
        <v>2016</v>
      </c>
      <c r="F47" s="106">
        <v>2016</v>
      </c>
      <c r="G47" s="136">
        <f>2.60686*1.18</f>
        <v>3.0760948</v>
      </c>
      <c r="H47" s="16"/>
      <c r="I47" s="35"/>
      <c r="J47" s="85"/>
      <c r="K47" s="16"/>
      <c r="L47" s="26" t="s">
        <v>53</v>
      </c>
      <c r="M47" s="26"/>
      <c r="N47" s="26"/>
      <c r="O47" s="297" t="str">
        <f t="shared" si="12"/>
        <v>1,407 км</v>
      </c>
      <c r="P47" s="339"/>
      <c r="Q47" s="136"/>
      <c r="R47" s="16"/>
      <c r="S47" s="17">
        <f>G47</f>
        <v>3.0760948</v>
      </c>
      <c r="T47" s="16"/>
      <c r="U47" s="16"/>
      <c r="V47" s="131">
        <f>SUM(P47:T47)</f>
        <v>3.0760948</v>
      </c>
      <c r="W47" s="62"/>
      <c r="X47" s="63"/>
      <c r="Y47" s="63"/>
      <c r="Z47" s="6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</row>
    <row r="48" spans="1:95" s="163" customFormat="1" ht="15.75">
      <c r="A48" s="241">
        <f t="shared" si="11"/>
        <v>14</v>
      </c>
      <c r="B48" s="238" t="s">
        <v>128</v>
      </c>
      <c r="C48" s="121" t="s">
        <v>59</v>
      </c>
      <c r="D48" s="296" t="s">
        <v>129</v>
      </c>
      <c r="E48" s="121">
        <v>2016</v>
      </c>
      <c r="F48" s="58">
        <v>2016</v>
      </c>
      <c r="G48" s="352">
        <f>0.0583*1.18</f>
        <v>0.068794</v>
      </c>
      <c r="H48" s="49"/>
      <c r="I48" s="122"/>
      <c r="J48" s="86"/>
      <c r="K48" s="60"/>
      <c r="L48" s="50" t="str">
        <f>D48</f>
        <v>0,573 км</v>
      </c>
      <c r="M48" s="59"/>
      <c r="N48" s="59"/>
      <c r="O48" s="297" t="str">
        <f t="shared" si="12"/>
        <v>0,573 км</v>
      </c>
      <c r="P48" s="302"/>
      <c r="Q48" s="137"/>
      <c r="R48" s="59"/>
      <c r="S48" s="150">
        <f>G48</f>
        <v>0.068794</v>
      </c>
      <c r="T48" s="17"/>
      <c r="U48" s="17"/>
      <c r="V48" s="131">
        <f>SUM(P48:T48)</f>
        <v>0.068794</v>
      </c>
      <c r="W48" s="62"/>
      <c r="X48" s="63"/>
      <c r="Y48" s="63"/>
      <c r="Z48" s="6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</row>
    <row r="49" spans="1:95" s="224" customFormat="1" ht="15.75">
      <c r="A49" s="241">
        <f t="shared" si="11"/>
        <v>15</v>
      </c>
      <c r="B49" s="211" t="s">
        <v>128</v>
      </c>
      <c r="C49" s="215" t="s">
        <v>36</v>
      </c>
      <c r="D49" s="216" t="s">
        <v>129</v>
      </c>
      <c r="E49" s="215">
        <v>2017</v>
      </c>
      <c r="F49" s="214">
        <v>2017</v>
      </c>
      <c r="G49" s="375">
        <f>1.10411*1.18</f>
        <v>1.3028498</v>
      </c>
      <c r="H49" s="218"/>
      <c r="I49" s="217"/>
      <c r="J49" s="361"/>
      <c r="K49" s="219"/>
      <c r="L49" s="220"/>
      <c r="M49" s="221" t="str">
        <f>D49</f>
        <v>0,573 км</v>
      </c>
      <c r="N49" s="221"/>
      <c r="O49" s="222" t="s">
        <v>129</v>
      </c>
      <c r="P49" s="335"/>
      <c r="Q49" s="223"/>
      <c r="R49" s="221"/>
      <c r="S49" s="225"/>
      <c r="T49" s="212">
        <f>G49</f>
        <v>1.3028498</v>
      </c>
      <c r="U49" s="212"/>
      <c r="V49" s="307">
        <f>T49</f>
        <v>1.3028498</v>
      </c>
      <c r="W49" s="213"/>
      <c r="X49" s="72"/>
      <c r="Y49" s="72"/>
      <c r="Z49" s="72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</row>
    <row r="50" spans="1:95" s="163" customFormat="1" ht="15.75">
      <c r="A50" s="241">
        <f t="shared" si="11"/>
        <v>16</v>
      </c>
      <c r="B50" s="238" t="s">
        <v>130</v>
      </c>
      <c r="C50" s="121" t="s">
        <v>59</v>
      </c>
      <c r="D50" s="296" t="s">
        <v>131</v>
      </c>
      <c r="E50" s="121">
        <v>2016</v>
      </c>
      <c r="F50" s="58">
        <v>2016</v>
      </c>
      <c r="G50" s="352">
        <f>0.62102*1.18</f>
        <v>0.7328036</v>
      </c>
      <c r="H50" s="49"/>
      <c r="I50" s="122"/>
      <c r="J50" s="86"/>
      <c r="K50" s="60"/>
      <c r="L50" s="50" t="str">
        <f>D50</f>
        <v>6,104 км</v>
      </c>
      <c r="M50" s="59"/>
      <c r="N50" s="59"/>
      <c r="O50" s="297" t="str">
        <f>D50</f>
        <v>6,104 км</v>
      </c>
      <c r="P50" s="302"/>
      <c r="Q50" s="137"/>
      <c r="R50" s="59"/>
      <c r="S50" s="150">
        <f>G50</f>
        <v>0.7328036</v>
      </c>
      <c r="T50" s="17"/>
      <c r="U50" s="17"/>
      <c r="V50" s="131">
        <f>SUM(P50:T50)</f>
        <v>0.7328036</v>
      </c>
      <c r="W50" s="62"/>
      <c r="X50" s="63"/>
      <c r="Y50" s="63"/>
      <c r="Z50" s="6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</row>
    <row r="51" spans="1:95" s="224" customFormat="1" ht="15.75">
      <c r="A51" s="241">
        <f t="shared" si="11"/>
        <v>17</v>
      </c>
      <c r="B51" s="211" t="s">
        <v>130</v>
      </c>
      <c r="C51" s="215" t="s">
        <v>36</v>
      </c>
      <c r="D51" s="216" t="s">
        <v>131</v>
      </c>
      <c r="E51" s="215">
        <v>2017</v>
      </c>
      <c r="F51" s="214">
        <v>2017</v>
      </c>
      <c r="G51" s="375">
        <f>11.76175*1.18</f>
        <v>13.878864999999998</v>
      </c>
      <c r="H51" s="218"/>
      <c r="I51" s="217"/>
      <c r="J51" s="361"/>
      <c r="K51" s="219"/>
      <c r="L51" s="220"/>
      <c r="M51" s="221" t="str">
        <f>D51</f>
        <v>6,104 км</v>
      </c>
      <c r="N51" s="221"/>
      <c r="O51" s="222" t="str">
        <f>M51</f>
        <v>6,104 км</v>
      </c>
      <c r="P51" s="335"/>
      <c r="Q51" s="223"/>
      <c r="R51" s="221"/>
      <c r="S51" s="225"/>
      <c r="T51" s="212">
        <f>G51</f>
        <v>13.878864999999998</v>
      </c>
      <c r="U51" s="212"/>
      <c r="V51" s="307">
        <f>T51</f>
        <v>13.878864999999998</v>
      </c>
      <c r="W51" s="213"/>
      <c r="X51" s="72"/>
      <c r="Y51" s="72"/>
      <c r="Z51" s="72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</row>
    <row r="52" spans="1:95" s="163" customFormat="1" ht="15.75">
      <c r="A52" s="241">
        <f t="shared" si="11"/>
        <v>18</v>
      </c>
      <c r="B52" s="238" t="s">
        <v>132</v>
      </c>
      <c r="C52" s="121" t="s">
        <v>59</v>
      </c>
      <c r="D52" s="296" t="s">
        <v>133</v>
      </c>
      <c r="E52" s="121">
        <v>2016</v>
      </c>
      <c r="F52" s="58">
        <v>2016</v>
      </c>
      <c r="G52" s="352">
        <f>0.12473*1.18</f>
        <v>0.1471814</v>
      </c>
      <c r="H52" s="49"/>
      <c r="I52" s="122"/>
      <c r="J52" s="86"/>
      <c r="K52" s="60"/>
      <c r="L52" s="50" t="str">
        <f>D52</f>
        <v>1,226 км</v>
      </c>
      <c r="M52" s="59"/>
      <c r="N52" s="59"/>
      <c r="O52" s="297" t="str">
        <f>D52</f>
        <v>1,226 км</v>
      </c>
      <c r="P52" s="302"/>
      <c r="Q52" s="137"/>
      <c r="R52" s="59"/>
      <c r="S52" s="150">
        <f>G52</f>
        <v>0.1471814</v>
      </c>
      <c r="T52" s="17"/>
      <c r="U52" s="17"/>
      <c r="V52" s="131">
        <f>SUM(P52:T52)</f>
        <v>0.1471814</v>
      </c>
      <c r="W52" s="62"/>
      <c r="X52" s="63"/>
      <c r="Y52" s="63"/>
      <c r="Z52" s="6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</row>
    <row r="53" spans="1:95" s="224" customFormat="1" ht="15.75">
      <c r="A53" s="241">
        <f t="shared" si="11"/>
        <v>19</v>
      </c>
      <c r="B53" s="211" t="s">
        <v>132</v>
      </c>
      <c r="C53" s="215" t="s">
        <v>36</v>
      </c>
      <c r="D53" s="216" t="s">
        <v>133</v>
      </c>
      <c r="E53" s="215">
        <v>2017</v>
      </c>
      <c r="F53" s="214">
        <v>2017</v>
      </c>
      <c r="G53" s="375">
        <f>2.36237*1.18</f>
        <v>2.7875965999999996</v>
      </c>
      <c r="H53" s="218"/>
      <c r="I53" s="217"/>
      <c r="J53" s="361"/>
      <c r="K53" s="219"/>
      <c r="L53" s="220"/>
      <c r="M53" s="221" t="str">
        <f>D53</f>
        <v>1,226 км</v>
      </c>
      <c r="N53" s="221"/>
      <c r="O53" s="222" t="str">
        <f>M53</f>
        <v>1,226 км</v>
      </c>
      <c r="P53" s="335"/>
      <c r="Q53" s="223"/>
      <c r="R53" s="221"/>
      <c r="S53" s="225"/>
      <c r="T53" s="212">
        <f>G53</f>
        <v>2.7875965999999996</v>
      </c>
      <c r="U53" s="212"/>
      <c r="V53" s="307">
        <f>T53</f>
        <v>2.7875965999999996</v>
      </c>
      <c r="W53" s="213"/>
      <c r="X53" s="72"/>
      <c r="Y53" s="72"/>
      <c r="Z53" s="72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</row>
    <row r="54" spans="1:95" s="163" customFormat="1" ht="15.75">
      <c r="A54" s="241">
        <f t="shared" si="11"/>
        <v>20</v>
      </c>
      <c r="B54" s="238" t="s">
        <v>134</v>
      </c>
      <c r="C54" s="121" t="s">
        <v>59</v>
      </c>
      <c r="D54" s="296" t="s">
        <v>227</v>
      </c>
      <c r="E54" s="121">
        <v>2016</v>
      </c>
      <c r="F54" s="58">
        <v>2016</v>
      </c>
      <c r="G54" s="352">
        <f>0.03866*1.18</f>
        <v>0.045618799999999994</v>
      </c>
      <c r="H54" s="49"/>
      <c r="I54" s="122"/>
      <c r="J54" s="86"/>
      <c r="K54" s="60"/>
      <c r="L54" s="50" t="str">
        <f>D54</f>
        <v>0,38 км</v>
      </c>
      <c r="M54" s="59"/>
      <c r="N54" s="59"/>
      <c r="O54" s="297" t="str">
        <f>D54</f>
        <v>0,38 км</v>
      </c>
      <c r="P54" s="302"/>
      <c r="Q54" s="137"/>
      <c r="R54" s="59"/>
      <c r="S54" s="150">
        <f>G54</f>
        <v>0.045618799999999994</v>
      </c>
      <c r="T54" s="17"/>
      <c r="U54" s="17"/>
      <c r="V54" s="131">
        <f>SUM(P54:T54)</f>
        <v>0.045618799999999994</v>
      </c>
      <c r="W54" s="62"/>
      <c r="X54" s="63"/>
      <c r="Y54" s="63"/>
      <c r="Z54" s="6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</row>
    <row r="55" spans="1:95" s="224" customFormat="1" ht="15.75">
      <c r="A55" s="241">
        <f t="shared" si="11"/>
        <v>21</v>
      </c>
      <c r="B55" s="211" t="s">
        <v>134</v>
      </c>
      <c r="C55" s="215" t="s">
        <v>36</v>
      </c>
      <c r="D55" s="216" t="s">
        <v>227</v>
      </c>
      <c r="E55" s="215">
        <v>2017</v>
      </c>
      <c r="F55" s="214">
        <v>2017</v>
      </c>
      <c r="G55" s="375">
        <f>0.73222*1.18</f>
        <v>0.8640195999999999</v>
      </c>
      <c r="H55" s="218"/>
      <c r="I55" s="217"/>
      <c r="J55" s="361"/>
      <c r="K55" s="219"/>
      <c r="L55" s="220"/>
      <c r="M55" s="221" t="str">
        <f>D55</f>
        <v>0,38 км</v>
      </c>
      <c r="N55" s="221"/>
      <c r="O55" s="222" t="str">
        <f>M55</f>
        <v>0,38 км</v>
      </c>
      <c r="P55" s="335"/>
      <c r="Q55" s="223"/>
      <c r="R55" s="221"/>
      <c r="S55" s="225"/>
      <c r="T55" s="212">
        <f>G55</f>
        <v>0.8640195999999999</v>
      </c>
      <c r="U55" s="212"/>
      <c r="V55" s="307">
        <f>T55</f>
        <v>0.8640195999999999</v>
      </c>
      <c r="W55" s="213"/>
      <c r="X55" s="72"/>
      <c r="Y55" s="72"/>
      <c r="Z55" s="72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</row>
    <row r="56" spans="1:95" s="236" customFormat="1" ht="15.75">
      <c r="A56" s="241">
        <f>A142+1</f>
        <v>19</v>
      </c>
      <c r="B56" s="205" t="s">
        <v>233</v>
      </c>
      <c r="C56" s="226" t="s">
        <v>36</v>
      </c>
      <c r="D56" s="227" t="s">
        <v>234</v>
      </c>
      <c r="E56" s="226">
        <v>2018</v>
      </c>
      <c r="F56" s="310">
        <v>2018</v>
      </c>
      <c r="G56" s="376">
        <f>2.6013*1.18</f>
        <v>3.069534</v>
      </c>
      <c r="H56" s="229"/>
      <c r="I56" s="228"/>
      <c r="J56" s="363"/>
      <c r="K56" s="230"/>
      <c r="L56" s="231"/>
      <c r="M56" s="232"/>
      <c r="N56" s="232" t="str">
        <f>D56</f>
        <v>1,35 км</v>
      </c>
      <c r="O56" s="233" t="str">
        <f>D56</f>
        <v>1,35 км</v>
      </c>
      <c r="P56" s="337"/>
      <c r="Q56" s="234"/>
      <c r="R56" s="232"/>
      <c r="S56" s="235"/>
      <c r="T56" s="206"/>
      <c r="U56" s="206">
        <f>G56</f>
        <v>3.069534</v>
      </c>
      <c r="V56" s="308">
        <f>SUM(Q56:U56)</f>
        <v>3.069534</v>
      </c>
      <c r="W56" s="207"/>
      <c r="X56" s="208"/>
      <c r="Y56" s="208"/>
      <c r="Z56" s="208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</row>
    <row r="57" spans="1:95" s="236" customFormat="1" ht="15.75">
      <c r="A57" s="241">
        <f>A143+1</f>
        <v>20</v>
      </c>
      <c r="B57" s="205" t="s">
        <v>314</v>
      </c>
      <c r="C57" s="226" t="s">
        <v>36</v>
      </c>
      <c r="D57" s="227" t="s">
        <v>235</v>
      </c>
      <c r="E57" s="226">
        <v>2018</v>
      </c>
      <c r="F57" s="310">
        <v>2018</v>
      </c>
      <c r="G57" s="376">
        <f>1.7053*1.18</f>
        <v>2.012254</v>
      </c>
      <c r="H57" s="229"/>
      <c r="I57" s="228"/>
      <c r="J57" s="363"/>
      <c r="K57" s="230"/>
      <c r="L57" s="231"/>
      <c r="M57" s="232"/>
      <c r="N57" s="232" t="str">
        <f>D57</f>
        <v>0,885 км</v>
      </c>
      <c r="O57" s="233" t="str">
        <f>D57</f>
        <v>0,885 км</v>
      </c>
      <c r="P57" s="337"/>
      <c r="Q57" s="234"/>
      <c r="R57" s="232"/>
      <c r="S57" s="235"/>
      <c r="T57" s="206"/>
      <c r="U57" s="206">
        <f>G57</f>
        <v>2.012254</v>
      </c>
      <c r="V57" s="308">
        <f>SUM(Q57:U57)</f>
        <v>2.012254</v>
      </c>
      <c r="W57" s="207"/>
      <c r="X57" s="208"/>
      <c r="Y57" s="208"/>
      <c r="Z57" s="208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</row>
    <row r="58" spans="1:95" s="15" customFormat="1" ht="18.75" customHeight="1">
      <c r="A58" s="79" t="s">
        <v>5</v>
      </c>
      <c r="B58" s="88" t="s">
        <v>54</v>
      </c>
      <c r="C58" s="118"/>
      <c r="D58" s="108"/>
      <c r="E58" s="118"/>
      <c r="F58" s="105"/>
      <c r="G58" s="133">
        <f>G59</f>
        <v>0</v>
      </c>
      <c r="H58" s="13"/>
      <c r="I58" s="119"/>
      <c r="J58" s="113"/>
      <c r="K58" s="14"/>
      <c r="L58" s="14"/>
      <c r="M58" s="14"/>
      <c r="N58" s="14"/>
      <c r="O58" s="315"/>
      <c r="P58" s="333">
        <f aca="true" t="shared" si="13" ref="P58:V58">P59</f>
        <v>0</v>
      </c>
      <c r="Q58" s="133">
        <f t="shared" si="13"/>
        <v>0</v>
      </c>
      <c r="R58" s="14">
        <f t="shared" si="13"/>
        <v>0</v>
      </c>
      <c r="S58" s="14">
        <f t="shared" si="13"/>
        <v>0</v>
      </c>
      <c r="T58" s="14">
        <f t="shared" si="13"/>
        <v>0</v>
      </c>
      <c r="U58" s="14">
        <f t="shared" si="13"/>
        <v>0</v>
      </c>
      <c r="V58" s="134">
        <f t="shared" si="13"/>
        <v>0</v>
      </c>
      <c r="W58" s="62"/>
      <c r="X58" s="63"/>
      <c r="Y58" s="63"/>
      <c r="Z58" s="6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</row>
    <row r="59" spans="1:95" s="2" customFormat="1" ht="15.75">
      <c r="A59" s="36" t="s">
        <v>6</v>
      </c>
      <c r="B59" s="94" t="s">
        <v>39</v>
      </c>
      <c r="C59" s="120"/>
      <c r="D59" s="41"/>
      <c r="E59" s="120"/>
      <c r="F59" s="106"/>
      <c r="G59" s="135">
        <f>SUM(G60:G60)</f>
        <v>0</v>
      </c>
      <c r="H59" s="16"/>
      <c r="I59" s="35"/>
      <c r="J59" s="362"/>
      <c r="K59" s="16"/>
      <c r="L59" s="16"/>
      <c r="M59" s="16"/>
      <c r="N59" s="16"/>
      <c r="O59" s="316"/>
      <c r="P59" s="161"/>
      <c r="Q59" s="135">
        <f aca="true" t="shared" si="14" ref="Q59:V59">SUM(Q60:Q60)</f>
        <v>0</v>
      </c>
      <c r="R59" s="8">
        <f t="shared" si="14"/>
        <v>0</v>
      </c>
      <c r="S59" s="8">
        <f t="shared" si="14"/>
        <v>0</v>
      </c>
      <c r="T59" s="8">
        <f t="shared" si="14"/>
        <v>0</v>
      </c>
      <c r="U59" s="8">
        <f t="shared" si="14"/>
        <v>0</v>
      </c>
      <c r="V59" s="129">
        <f t="shared" si="14"/>
        <v>0</v>
      </c>
      <c r="W59" s="62"/>
      <c r="X59" s="63"/>
      <c r="Y59" s="63"/>
      <c r="Z59" s="6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</row>
    <row r="60" spans="1:95" s="176" customFormat="1" ht="15.75">
      <c r="A60" s="165"/>
      <c r="B60" s="166"/>
      <c r="C60" s="167"/>
      <c r="D60" s="168"/>
      <c r="E60" s="167"/>
      <c r="F60" s="168"/>
      <c r="G60" s="377"/>
      <c r="H60" s="170"/>
      <c r="I60" s="169"/>
      <c r="J60" s="317"/>
      <c r="K60" s="170"/>
      <c r="L60" s="170"/>
      <c r="M60" s="170"/>
      <c r="N60" s="170"/>
      <c r="O60" s="317"/>
      <c r="P60" s="340"/>
      <c r="Q60" s="177"/>
      <c r="R60" s="171"/>
      <c r="S60" s="171"/>
      <c r="T60" s="171"/>
      <c r="U60" s="171"/>
      <c r="V60" s="172"/>
      <c r="W60" s="173"/>
      <c r="X60" s="174"/>
      <c r="Y60" s="174"/>
      <c r="Z60" s="174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</row>
    <row r="61" spans="1:95" s="9" customFormat="1" ht="22.5" customHeight="1">
      <c r="A61" s="78" t="s">
        <v>55</v>
      </c>
      <c r="B61" s="95" t="s">
        <v>56</v>
      </c>
      <c r="C61" s="125"/>
      <c r="D61" s="109"/>
      <c r="E61" s="125"/>
      <c r="F61" s="109"/>
      <c r="G61" s="138">
        <f>G62</f>
        <v>3.0091888</v>
      </c>
      <c r="H61" s="39"/>
      <c r="I61" s="126"/>
      <c r="J61" s="366"/>
      <c r="K61" s="39"/>
      <c r="L61" s="39"/>
      <c r="M61" s="39"/>
      <c r="N61" s="39"/>
      <c r="O61" s="318"/>
      <c r="P61" s="341">
        <f aca="true" t="shared" si="15" ref="P61:U61">P62</f>
        <v>0</v>
      </c>
      <c r="Q61" s="138">
        <f t="shared" si="15"/>
        <v>3.0091888</v>
      </c>
      <c r="R61" s="157">
        <f t="shared" si="15"/>
        <v>0</v>
      </c>
      <c r="S61" s="157">
        <f t="shared" si="15"/>
        <v>0</v>
      </c>
      <c r="T61" s="40">
        <f t="shared" si="15"/>
        <v>0</v>
      </c>
      <c r="U61" s="40">
        <f t="shared" si="15"/>
        <v>0</v>
      </c>
      <c r="V61" s="139">
        <f>T61+S61+R61+Q61+P61</f>
        <v>3.0091888</v>
      </c>
      <c r="W61" s="62"/>
      <c r="X61" s="74"/>
      <c r="Y61" s="73"/>
      <c r="Z61" s="73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</row>
    <row r="62" spans="1:95" s="2" customFormat="1" ht="22.5" customHeight="1">
      <c r="A62" s="81" t="s">
        <v>57</v>
      </c>
      <c r="B62" s="96" t="s">
        <v>35</v>
      </c>
      <c r="C62" s="121"/>
      <c r="D62" s="58"/>
      <c r="E62" s="121"/>
      <c r="F62" s="58"/>
      <c r="G62" s="140">
        <f>G63+G64</f>
        <v>3.0091888</v>
      </c>
      <c r="H62" s="49"/>
      <c r="I62" s="122"/>
      <c r="J62" s="86"/>
      <c r="K62" s="49"/>
      <c r="L62" s="49"/>
      <c r="M62" s="49"/>
      <c r="N62" s="49"/>
      <c r="O62" s="143"/>
      <c r="P62" s="158"/>
      <c r="Q62" s="158">
        <f aca="true" t="shared" si="16" ref="Q62:V62">SUM(Q63:Q64)</f>
        <v>3.0091888</v>
      </c>
      <c r="R62" s="48">
        <f t="shared" si="16"/>
        <v>0</v>
      </c>
      <c r="S62" s="48">
        <f t="shared" si="16"/>
        <v>0</v>
      </c>
      <c r="T62" s="114">
        <f t="shared" si="16"/>
        <v>0</v>
      </c>
      <c r="U62" s="114">
        <f t="shared" si="16"/>
        <v>0</v>
      </c>
      <c r="V62" s="326">
        <f t="shared" si="16"/>
        <v>3.0091888</v>
      </c>
      <c r="W62" s="62"/>
      <c r="X62" s="63"/>
      <c r="Y62" s="63"/>
      <c r="Z62" s="6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</row>
    <row r="63" spans="1:95" s="254" customFormat="1" ht="22.5" customHeight="1">
      <c r="A63" s="241">
        <v>1</v>
      </c>
      <c r="B63" s="276" t="s">
        <v>200</v>
      </c>
      <c r="C63" s="265" t="s">
        <v>36</v>
      </c>
      <c r="D63" s="274" t="s">
        <v>58</v>
      </c>
      <c r="E63" s="265">
        <v>2014</v>
      </c>
      <c r="F63" s="274">
        <v>2014</v>
      </c>
      <c r="G63" s="350">
        <f>2.55016/2*1.18</f>
        <v>1.5045944</v>
      </c>
      <c r="H63" s="247"/>
      <c r="I63" s="245"/>
      <c r="J63" s="277" t="s">
        <v>58</v>
      </c>
      <c r="K63" s="247"/>
      <c r="L63" s="247"/>
      <c r="M63" s="247"/>
      <c r="N63" s="247"/>
      <c r="O63" s="256" t="s">
        <v>58</v>
      </c>
      <c r="P63" s="336"/>
      <c r="Q63" s="336">
        <f>G63</f>
        <v>1.5045944</v>
      </c>
      <c r="R63" s="247"/>
      <c r="S63" s="247"/>
      <c r="T63" s="246"/>
      <c r="U63" s="246"/>
      <c r="V63" s="250">
        <f>SUM(P63:S63)</f>
        <v>1.5045944</v>
      </c>
      <c r="W63" s="251"/>
      <c r="X63" s="252"/>
      <c r="Y63" s="252"/>
      <c r="Z63" s="252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</row>
    <row r="64" spans="1:95" s="254" customFormat="1" ht="22.5" customHeight="1">
      <c r="A64" s="241">
        <v>2</v>
      </c>
      <c r="B64" s="242" t="s">
        <v>201</v>
      </c>
      <c r="C64" s="265" t="s">
        <v>36</v>
      </c>
      <c r="D64" s="274" t="s">
        <v>58</v>
      </c>
      <c r="E64" s="265">
        <v>2014</v>
      </c>
      <c r="F64" s="274">
        <v>2014</v>
      </c>
      <c r="G64" s="350">
        <f>2.55016/2*1.18</f>
        <v>1.5045944</v>
      </c>
      <c r="H64" s="247"/>
      <c r="I64" s="245"/>
      <c r="J64" s="277" t="s">
        <v>58</v>
      </c>
      <c r="K64" s="247" t="s">
        <v>126</v>
      </c>
      <c r="L64" s="247"/>
      <c r="M64" s="247"/>
      <c r="N64" s="247"/>
      <c r="O64" s="256" t="s">
        <v>58</v>
      </c>
      <c r="P64" s="342"/>
      <c r="Q64" s="336">
        <f>G64</f>
        <v>1.5045944</v>
      </c>
      <c r="R64" s="247"/>
      <c r="S64" s="247"/>
      <c r="T64" s="277"/>
      <c r="U64" s="277"/>
      <c r="V64" s="250">
        <f>SUM(P64:S64)</f>
        <v>1.5045944</v>
      </c>
      <c r="W64" s="251"/>
      <c r="X64" s="252"/>
      <c r="Y64" s="252"/>
      <c r="Z64" s="252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</row>
    <row r="65" spans="1:95" s="21" customFormat="1" ht="34.5" customHeight="1">
      <c r="A65" s="82" t="s">
        <v>60</v>
      </c>
      <c r="B65" s="97" t="s">
        <v>61</v>
      </c>
      <c r="C65" s="125"/>
      <c r="D65" s="109"/>
      <c r="E65" s="125"/>
      <c r="F65" s="109"/>
      <c r="G65" s="341">
        <f>G66+G69+G77+G107+G123+G150+G164</f>
        <v>289.7455072</v>
      </c>
      <c r="H65" s="39"/>
      <c r="I65" s="126"/>
      <c r="J65" s="366"/>
      <c r="K65" s="39"/>
      <c r="L65" s="39"/>
      <c r="M65" s="39"/>
      <c r="N65" s="39"/>
      <c r="O65" s="318"/>
      <c r="P65" s="341"/>
      <c r="Q65" s="341">
        <f aca="true" t="shared" si="17" ref="Q65:V65">Q66+Q69+Q77+Q107+Q123+Q150+Q164</f>
        <v>24.935134599999998</v>
      </c>
      <c r="R65" s="40">
        <f t="shared" si="17"/>
        <v>66.73237479999999</v>
      </c>
      <c r="S65" s="40">
        <f t="shared" si="17"/>
        <v>75.4823108</v>
      </c>
      <c r="T65" s="159">
        <f t="shared" si="17"/>
        <v>56.29177019999999</v>
      </c>
      <c r="U65" s="159">
        <f t="shared" si="17"/>
        <v>66.3039168</v>
      </c>
      <c r="V65" s="139">
        <f t="shared" si="17"/>
        <v>289.7455072</v>
      </c>
      <c r="W65" s="62"/>
      <c r="X65" s="74"/>
      <c r="Y65" s="73"/>
      <c r="Z65" s="73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</row>
    <row r="66" spans="1:95" s="22" customFormat="1" ht="22.5" customHeight="1">
      <c r="A66" s="79" t="s">
        <v>62</v>
      </c>
      <c r="B66" s="93" t="s">
        <v>63</v>
      </c>
      <c r="C66" s="123"/>
      <c r="D66" s="107"/>
      <c r="E66" s="123"/>
      <c r="F66" s="107"/>
      <c r="G66" s="133">
        <f>G67</f>
        <v>0</v>
      </c>
      <c r="H66" s="12"/>
      <c r="I66" s="124"/>
      <c r="J66" s="364"/>
      <c r="K66" s="12"/>
      <c r="L66" s="12"/>
      <c r="M66" s="12"/>
      <c r="N66" s="12"/>
      <c r="O66" s="314"/>
      <c r="P66" s="333">
        <f aca="true" t="shared" si="18" ref="P66:V66">P67</f>
        <v>0</v>
      </c>
      <c r="Q66" s="133">
        <f t="shared" si="18"/>
        <v>0</v>
      </c>
      <c r="R66" s="160">
        <f t="shared" si="18"/>
        <v>0</v>
      </c>
      <c r="S66" s="160">
        <f t="shared" si="18"/>
        <v>0</v>
      </c>
      <c r="T66" s="113">
        <f t="shared" si="18"/>
        <v>0</v>
      </c>
      <c r="U66" s="113">
        <f t="shared" si="18"/>
        <v>0</v>
      </c>
      <c r="V66" s="134">
        <f t="shared" si="18"/>
        <v>0</v>
      </c>
      <c r="W66" s="62"/>
      <c r="X66" s="74"/>
      <c r="Y66" s="73"/>
      <c r="Z66" s="73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</row>
    <row r="67" spans="1:95" s="20" customFormat="1" ht="22.5" customHeight="1">
      <c r="A67" s="36" t="s">
        <v>64</v>
      </c>
      <c r="B67" s="92" t="s">
        <v>35</v>
      </c>
      <c r="C67" s="120"/>
      <c r="D67" s="106"/>
      <c r="E67" s="120"/>
      <c r="F67" s="106"/>
      <c r="G67" s="135">
        <f>SUM(G68:G68)</f>
        <v>0</v>
      </c>
      <c r="H67" s="16"/>
      <c r="I67" s="35"/>
      <c r="J67" s="85"/>
      <c r="K67" s="16"/>
      <c r="L67" s="16"/>
      <c r="M67" s="16"/>
      <c r="N67" s="16"/>
      <c r="O67" s="162"/>
      <c r="P67" s="161"/>
      <c r="Q67" s="135">
        <f aca="true" t="shared" si="19" ref="Q67:V67">SUM(Q68:Q68)</f>
        <v>0</v>
      </c>
      <c r="R67" s="8">
        <f t="shared" si="19"/>
        <v>0</v>
      </c>
      <c r="S67" s="8">
        <f t="shared" si="19"/>
        <v>0</v>
      </c>
      <c r="T67" s="8">
        <f t="shared" si="19"/>
        <v>0</v>
      </c>
      <c r="U67" s="8">
        <f t="shared" si="19"/>
        <v>0</v>
      </c>
      <c r="V67" s="129">
        <f t="shared" si="19"/>
        <v>0</v>
      </c>
      <c r="W67" s="62"/>
      <c r="X67" s="63"/>
      <c r="Y67" s="63"/>
      <c r="Z67" s="6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</row>
    <row r="68" spans="1:95" s="20" customFormat="1" ht="22.5" customHeight="1">
      <c r="A68" s="80"/>
      <c r="B68" s="90"/>
      <c r="C68" s="121"/>
      <c r="D68" s="58"/>
      <c r="E68" s="121"/>
      <c r="F68" s="58"/>
      <c r="G68" s="352"/>
      <c r="H68" s="17"/>
      <c r="I68" s="131"/>
      <c r="J68" s="143"/>
      <c r="K68" s="16"/>
      <c r="L68" s="16"/>
      <c r="M68" s="16"/>
      <c r="N68" s="16"/>
      <c r="O68" s="162"/>
      <c r="P68" s="339"/>
      <c r="Q68" s="120"/>
      <c r="R68" s="16"/>
      <c r="S68" s="17"/>
      <c r="T68" s="18"/>
      <c r="U68" s="18"/>
      <c r="V68" s="131"/>
      <c r="W68" s="62"/>
      <c r="X68" s="63"/>
      <c r="Y68" s="63"/>
      <c r="Z68" s="6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</row>
    <row r="69" spans="1:95" s="22" customFormat="1" ht="22.5" customHeight="1">
      <c r="A69" s="79" t="s">
        <v>65</v>
      </c>
      <c r="B69" s="88" t="s">
        <v>66</v>
      </c>
      <c r="C69" s="123"/>
      <c r="D69" s="107"/>
      <c r="E69" s="123"/>
      <c r="F69" s="107"/>
      <c r="G69" s="133">
        <f>G70+G74+G72</f>
        <v>11.306217199999999</v>
      </c>
      <c r="H69" s="12"/>
      <c r="I69" s="124"/>
      <c r="J69" s="364"/>
      <c r="K69" s="12"/>
      <c r="L69" s="12"/>
      <c r="M69" s="12"/>
      <c r="N69" s="12"/>
      <c r="O69" s="314"/>
      <c r="P69" s="333"/>
      <c r="Q69" s="133">
        <f aca="true" t="shared" si="20" ref="Q69:V69">Q70+Q72+Q74</f>
        <v>0</v>
      </c>
      <c r="R69" s="113">
        <f t="shared" si="20"/>
        <v>0</v>
      </c>
      <c r="S69" s="113">
        <f t="shared" si="20"/>
        <v>8.002217199999999</v>
      </c>
      <c r="T69" s="113">
        <f t="shared" si="20"/>
        <v>0.236</v>
      </c>
      <c r="U69" s="113">
        <f t="shared" si="20"/>
        <v>3.068</v>
      </c>
      <c r="V69" s="144">
        <f t="shared" si="20"/>
        <v>11.306217199999999</v>
      </c>
      <c r="W69" s="62"/>
      <c r="X69" s="74"/>
      <c r="Y69" s="73"/>
      <c r="Z69" s="73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</row>
    <row r="70" spans="1:95" s="20" customFormat="1" ht="15.75">
      <c r="A70" s="36" t="s">
        <v>67</v>
      </c>
      <c r="B70" s="92" t="s">
        <v>35</v>
      </c>
      <c r="C70" s="120"/>
      <c r="D70" s="106"/>
      <c r="E70" s="120"/>
      <c r="F70" s="106"/>
      <c r="G70" s="135">
        <f>SUM(G71:G71)</f>
        <v>0</v>
      </c>
      <c r="H70" s="16"/>
      <c r="I70" s="35"/>
      <c r="J70" s="85"/>
      <c r="K70" s="16"/>
      <c r="L70" s="16"/>
      <c r="M70" s="16"/>
      <c r="N70" s="16"/>
      <c r="O70" s="162"/>
      <c r="P70" s="161">
        <f aca="true" t="shared" si="21" ref="P70:U70">SUM(P71:P71)</f>
        <v>0</v>
      </c>
      <c r="Q70" s="135">
        <f t="shared" si="21"/>
        <v>0</v>
      </c>
      <c r="R70" s="111">
        <f t="shared" si="21"/>
        <v>0</v>
      </c>
      <c r="S70" s="111">
        <f t="shared" si="21"/>
        <v>0</v>
      </c>
      <c r="T70" s="111">
        <f t="shared" si="21"/>
        <v>0</v>
      </c>
      <c r="U70" s="111">
        <f t="shared" si="21"/>
        <v>0</v>
      </c>
      <c r="V70" s="141">
        <f>T70+S70+R70+Q70+P70</f>
        <v>0</v>
      </c>
      <c r="W70" s="62"/>
      <c r="X70" s="63"/>
      <c r="Y70" s="63"/>
      <c r="Z70" s="6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</row>
    <row r="71" spans="1:95" s="38" customFormat="1" ht="15.75">
      <c r="A71" s="83"/>
      <c r="B71" s="90"/>
      <c r="C71" s="120"/>
      <c r="D71" s="106"/>
      <c r="E71" s="120"/>
      <c r="F71" s="356"/>
      <c r="G71" s="136"/>
      <c r="H71" s="17"/>
      <c r="I71" s="131"/>
      <c r="J71" s="85"/>
      <c r="K71" s="106"/>
      <c r="L71" s="16"/>
      <c r="M71" s="16"/>
      <c r="N71" s="16"/>
      <c r="O71" s="162"/>
      <c r="P71" s="343"/>
      <c r="Q71" s="120"/>
      <c r="R71" s="153"/>
      <c r="S71" s="17"/>
      <c r="T71" s="16"/>
      <c r="U71" s="16"/>
      <c r="V71" s="142"/>
      <c r="W71" s="62"/>
      <c r="X71" s="63"/>
      <c r="Y71" s="72"/>
      <c r="Z71" s="72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</row>
    <row r="72" spans="1:95" s="21" customFormat="1" ht="15.75">
      <c r="A72" s="36" t="s">
        <v>68</v>
      </c>
      <c r="B72" s="96" t="s">
        <v>217</v>
      </c>
      <c r="C72" s="43"/>
      <c r="D72" s="41"/>
      <c r="E72" s="43"/>
      <c r="F72" s="41"/>
      <c r="G72" s="135">
        <f>SUM(G73)</f>
        <v>8.002217199999999</v>
      </c>
      <c r="H72" s="3"/>
      <c r="I72" s="129"/>
      <c r="J72" s="362"/>
      <c r="K72" s="3"/>
      <c r="L72" s="3"/>
      <c r="M72" s="3"/>
      <c r="N72" s="3"/>
      <c r="O72" s="154"/>
      <c r="P72" s="161"/>
      <c r="Q72" s="135">
        <f aca="true" t="shared" si="22" ref="Q72:V72">SUM(Q73)</f>
        <v>0</v>
      </c>
      <c r="R72" s="8">
        <f t="shared" si="22"/>
        <v>0</v>
      </c>
      <c r="S72" s="8">
        <f t="shared" si="22"/>
        <v>8.002217199999999</v>
      </c>
      <c r="T72" s="8">
        <f t="shared" si="22"/>
        <v>0</v>
      </c>
      <c r="U72" s="8">
        <f t="shared" si="22"/>
        <v>0</v>
      </c>
      <c r="V72" s="129">
        <f t="shared" si="22"/>
        <v>8.002217199999999</v>
      </c>
      <c r="W72" s="62"/>
      <c r="X72" s="73"/>
      <c r="Y72" s="73"/>
      <c r="Z72" s="73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</row>
    <row r="73" spans="1:95" s="2" customFormat="1" ht="15.75">
      <c r="A73" s="80">
        <v>1</v>
      </c>
      <c r="B73" s="238" t="s">
        <v>218</v>
      </c>
      <c r="C73" s="120" t="s">
        <v>36</v>
      </c>
      <c r="D73" s="237" t="s">
        <v>219</v>
      </c>
      <c r="E73" s="120">
        <v>2016</v>
      </c>
      <c r="F73" s="106">
        <v>2016</v>
      </c>
      <c r="G73" s="136">
        <f>6.78154*1.18</f>
        <v>8.002217199999999</v>
      </c>
      <c r="H73" s="16"/>
      <c r="I73" s="35"/>
      <c r="J73" s="85"/>
      <c r="K73" s="16"/>
      <c r="L73" s="26" t="str">
        <f>D73</f>
        <v>3 км</v>
      </c>
      <c r="M73" s="26"/>
      <c r="N73" s="26"/>
      <c r="O73" s="162" t="str">
        <f>D73</f>
        <v>3 км</v>
      </c>
      <c r="P73" s="339"/>
      <c r="Q73" s="136"/>
      <c r="R73" s="16"/>
      <c r="S73" s="17">
        <f>G73</f>
        <v>8.002217199999999</v>
      </c>
      <c r="T73" s="16"/>
      <c r="U73" s="16"/>
      <c r="V73" s="131">
        <f>SUM(P73:S73)</f>
        <v>8.002217199999999</v>
      </c>
      <c r="W73" s="62"/>
      <c r="X73" s="63"/>
      <c r="Y73" s="63"/>
      <c r="Z73" s="6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</row>
    <row r="74" spans="1:95" s="21" customFormat="1" ht="15.75">
      <c r="A74" s="36" t="s">
        <v>70</v>
      </c>
      <c r="B74" s="96" t="s">
        <v>39</v>
      </c>
      <c r="C74" s="43"/>
      <c r="D74" s="41"/>
      <c r="E74" s="43"/>
      <c r="F74" s="41"/>
      <c r="G74" s="135">
        <f>SUM(G75:G76)</f>
        <v>3.3040000000000003</v>
      </c>
      <c r="H74" s="3"/>
      <c r="I74" s="129"/>
      <c r="J74" s="362"/>
      <c r="K74" s="3"/>
      <c r="L74" s="3"/>
      <c r="M74" s="3"/>
      <c r="N74" s="3"/>
      <c r="O74" s="154"/>
      <c r="P74" s="161"/>
      <c r="Q74" s="135">
        <f>SUM(Q76:Q76)</f>
        <v>0</v>
      </c>
      <c r="R74" s="8">
        <f>SUM(R76:R76)</f>
        <v>0</v>
      </c>
      <c r="S74" s="8">
        <f>SUM(S76:S76)</f>
        <v>0</v>
      </c>
      <c r="T74" s="8">
        <f>SUM(T75:T76)</f>
        <v>0.236</v>
      </c>
      <c r="U74" s="8">
        <f>SUM(U76:U76)</f>
        <v>3.068</v>
      </c>
      <c r="V74" s="129">
        <f>SUM(V75:V76)</f>
        <v>3.3040000000000003</v>
      </c>
      <c r="W74" s="62"/>
      <c r="X74" s="73"/>
      <c r="Y74" s="73"/>
      <c r="Z74" s="73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</row>
    <row r="75" spans="1:95" s="224" customFormat="1" ht="31.5">
      <c r="A75" s="241">
        <v>1</v>
      </c>
      <c r="B75" s="304" t="s">
        <v>311</v>
      </c>
      <c r="C75" s="215" t="s">
        <v>59</v>
      </c>
      <c r="D75" s="216" t="s">
        <v>166</v>
      </c>
      <c r="E75" s="215">
        <v>2017</v>
      </c>
      <c r="F75" s="214">
        <v>2017</v>
      </c>
      <c r="G75" s="375">
        <f>0.2*1.18</f>
        <v>0.236</v>
      </c>
      <c r="H75" s="218"/>
      <c r="I75" s="217"/>
      <c r="J75" s="361"/>
      <c r="K75" s="219"/>
      <c r="L75" s="220"/>
      <c r="M75" s="221" t="str">
        <f>D75</f>
        <v>0,8 км</v>
      </c>
      <c r="N75" s="221"/>
      <c r="O75" s="222" t="str">
        <f>M75</f>
        <v>0,8 км</v>
      </c>
      <c r="P75" s="335"/>
      <c r="Q75" s="223"/>
      <c r="R75" s="221"/>
      <c r="S75" s="225"/>
      <c r="T75" s="212">
        <f>G75</f>
        <v>0.236</v>
      </c>
      <c r="U75" s="212"/>
      <c r="V75" s="307">
        <f>T75</f>
        <v>0.236</v>
      </c>
      <c r="W75" s="213"/>
      <c r="X75" s="72"/>
      <c r="Y75" s="72"/>
      <c r="Z75" s="72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</row>
    <row r="76" spans="1:95" s="236" customFormat="1" ht="31.5">
      <c r="A76" s="241">
        <v>2</v>
      </c>
      <c r="B76" s="384" t="s">
        <v>311</v>
      </c>
      <c r="C76" s="226" t="s">
        <v>36</v>
      </c>
      <c r="D76" s="227" t="s">
        <v>166</v>
      </c>
      <c r="E76" s="226">
        <v>2018</v>
      </c>
      <c r="F76" s="310">
        <v>2018</v>
      </c>
      <c r="G76" s="376">
        <f>2.6*1.18</f>
        <v>3.068</v>
      </c>
      <c r="H76" s="229"/>
      <c r="I76" s="228"/>
      <c r="J76" s="363"/>
      <c r="K76" s="230"/>
      <c r="L76" s="231"/>
      <c r="M76" s="232"/>
      <c r="N76" s="232" t="str">
        <f>D76</f>
        <v>0,8 км</v>
      </c>
      <c r="O76" s="233" t="str">
        <f>D76</f>
        <v>0,8 км</v>
      </c>
      <c r="P76" s="337"/>
      <c r="Q76" s="234"/>
      <c r="R76" s="232"/>
      <c r="S76" s="235"/>
      <c r="T76" s="206"/>
      <c r="U76" s="206">
        <f>G76</f>
        <v>3.068</v>
      </c>
      <c r="V76" s="308">
        <f>SUM(Q76:U76)</f>
        <v>3.068</v>
      </c>
      <c r="W76" s="207"/>
      <c r="X76" s="208"/>
      <c r="Y76" s="208"/>
      <c r="Z76" s="208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</row>
    <row r="77" spans="1:95" s="22" customFormat="1" ht="22.5" customHeight="1">
      <c r="A77" s="79" t="s">
        <v>71</v>
      </c>
      <c r="B77" s="88" t="s">
        <v>33</v>
      </c>
      <c r="C77" s="123"/>
      <c r="D77" s="107"/>
      <c r="E77" s="123"/>
      <c r="F77" s="107"/>
      <c r="G77" s="133">
        <f>G78+G97+G93</f>
        <v>89.8058824</v>
      </c>
      <c r="H77" s="12"/>
      <c r="I77" s="124"/>
      <c r="J77" s="364"/>
      <c r="K77" s="12"/>
      <c r="L77" s="12"/>
      <c r="M77" s="12"/>
      <c r="N77" s="12"/>
      <c r="O77" s="314"/>
      <c r="P77" s="333"/>
      <c r="Q77" s="133">
        <f>Q78+Q97</f>
        <v>9.7630132</v>
      </c>
      <c r="R77" s="113">
        <f>R78+R93+R97</f>
        <v>14.837426199999998</v>
      </c>
      <c r="S77" s="113">
        <f>S78+S93+S97</f>
        <v>24.251478</v>
      </c>
      <c r="T77" s="113">
        <f>T78+T93+T97</f>
        <v>11.3377586</v>
      </c>
      <c r="U77" s="113">
        <f>U78+U93+U97</f>
        <v>29.616206399999996</v>
      </c>
      <c r="V77" s="327">
        <f>V78+V93+V97</f>
        <v>89.8058824</v>
      </c>
      <c r="W77" s="62"/>
      <c r="X77" s="74"/>
      <c r="Y77" s="73"/>
      <c r="Z77" s="73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</row>
    <row r="78" spans="1:95" s="21" customFormat="1" ht="15.75">
      <c r="A78" s="36" t="s">
        <v>72</v>
      </c>
      <c r="B78" s="89" t="s">
        <v>35</v>
      </c>
      <c r="C78" s="43"/>
      <c r="D78" s="41"/>
      <c r="E78" s="43"/>
      <c r="F78" s="41"/>
      <c r="G78" s="135">
        <f>SUM(G79:G92)</f>
        <v>22.311121399999998</v>
      </c>
      <c r="H78" s="3"/>
      <c r="I78" s="4"/>
      <c r="J78" s="362"/>
      <c r="K78" s="3"/>
      <c r="L78" s="3"/>
      <c r="M78" s="3"/>
      <c r="N78" s="3"/>
      <c r="O78" s="154"/>
      <c r="P78" s="161" t="e">
        <f>SUM(P79:P95)</f>
        <v>#REF!</v>
      </c>
      <c r="Q78" s="135">
        <f aca="true" t="shared" si="23" ref="Q78:V78">SUM(Q79:Q92)</f>
        <v>0.236</v>
      </c>
      <c r="R78" s="8">
        <f t="shared" si="23"/>
        <v>6.0074743999999995</v>
      </c>
      <c r="S78" s="8">
        <f t="shared" si="23"/>
        <v>8.920044800000001</v>
      </c>
      <c r="T78" s="8">
        <f t="shared" si="23"/>
        <v>0.9127771999999998</v>
      </c>
      <c r="U78" s="8">
        <f t="shared" si="23"/>
        <v>6.234824999999999</v>
      </c>
      <c r="V78" s="129">
        <f t="shared" si="23"/>
        <v>22.311121399999998</v>
      </c>
      <c r="W78" s="62"/>
      <c r="X78" s="74"/>
      <c r="Y78" s="73"/>
      <c r="Z78" s="73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</row>
    <row r="79" spans="1:95" s="258" customFormat="1" ht="15.75">
      <c r="A79" s="241">
        <v>1</v>
      </c>
      <c r="B79" s="242" t="s">
        <v>168</v>
      </c>
      <c r="C79" s="243" t="s">
        <v>59</v>
      </c>
      <c r="D79" s="244" t="s">
        <v>38</v>
      </c>
      <c r="E79" s="243">
        <v>2014</v>
      </c>
      <c r="F79" s="244">
        <v>2014</v>
      </c>
      <c r="G79" s="257">
        <f>0.2*1.18</f>
        <v>0.236</v>
      </c>
      <c r="H79" s="249"/>
      <c r="I79" s="245"/>
      <c r="J79" s="277" t="str">
        <f>D79</f>
        <v>3,0 км</v>
      </c>
      <c r="K79" s="247"/>
      <c r="L79" s="247"/>
      <c r="M79" s="255"/>
      <c r="N79" s="255"/>
      <c r="O79" s="256" t="str">
        <f>J79</f>
        <v>3,0 км</v>
      </c>
      <c r="P79" s="336"/>
      <c r="Q79" s="257">
        <f>G79</f>
        <v>0.236</v>
      </c>
      <c r="R79" s="247"/>
      <c r="S79" s="247"/>
      <c r="T79" s="249"/>
      <c r="U79" s="249"/>
      <c r="V79" s="250">
        <f>Q79+R79+S79+T79</f>
        <v>0.236</v>
      </c>
      <c r="W79" s="251"/>
      <c r="X79" s="252"/>
      <c r="Y79" s="252"/>
      <c r="Z79" s="252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</row>
    <row r="80" spans="1:95" s="200" customFormat="1" ht="15.75">
      <c r="A80" s="241">
        <f aca="true" t="shared" si="24" ref="A80:A92">A79+1</f>
        <v>2</v>
      </c>
      <c r="B80" s="179" t="s">
        <v>73</v>
      </c>
      <c r="C80" s="188" t="s">
        <v>36</v>
      </c>
      <c r="D80" s="198" t="s">
        <v>38</v>
      </c>
      <c r="E80" s="188">
        <v>2015</v>
      </c>
      <c r="F80" s="198">
        <v>2015</v>
      </c>
      <c r="G80" s="349">
        <f>4.45714*1.18</f>
        <v>5.2594252</v>
      </c>
      <c r="H80" s="191"/>
      <c r="I80" s="190"/>
      <c r="J80" s="299"/>
      <c r="K80" s="191" t="str">
        <f>D80</f>
        <v>3,0 км</v>
      </c>
      <c r="L80" s="191"/>
      <c r="M80" s="191"/>
      <c r="N80" s="191"/>
      <c r="O80" s="298" t="str">
        <f aca="true" t="shared" si="25" ref="O80:O87">D80</f>
        <v>3,0 км</v>
      </c>
      <c r="P80" s="301"/>
      <c r="Q80" s="188"/>
      <c r="R80" s="184">
        <f>G80</f>
        <v>5.2594252</v>
      </c>
      <c r="S80" s="191"/>
      <c r="T80" s="191"/>
      <c r="U80" s="191"/>
      <c r="V80" s="194">
        <f>SUM(P80:S80)</f>
        <v>5.2594252</v>
      </c>
      <c r="W80" s="195"/>
      <c r="X80" s="199"/>
      <c r="Y80" s="185"/>
      <c r="Z80" s="185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</row>
    <row r="81" spans="1:95" s="200" customFormat="1" ht="15.75">
      <c r="A81" s="241">
        <f t="shared" si="24"/>
        <v>3</v>
      </c>
      <c r="B81" s="179" t="s">
        <v>322</v>
      </c>
      <c r="C81" s="188" t="s">
        <v>59</v>
      </c>
      <c r="D81" s="198" t="s">
        <v>213</v>
      </c>
      <c r="E81" s="188">
        <v>2015</v>
      </c>
      <c r="F81" s="198">
        <v>2015</v>
      </c>
      <c r="G81" s="349">
        <f>0.29251*1.18</f>
        <v>0.34516179999999996</v>
      </c>
      <c r="H81" s="191"/>
      <c r="I81" s="190"/>
      <c r="J81" s="299"/>
      <c r="K81" s="191" t="str">
        <f>D81</f>
        <v>4,095 км</v>
      </c>
      <c r="L81" s="191"/>
      <c r="M81" s="191"/>
      <c r="N81" s="191"/>
      <c r="O81" s="298" t="str">
        <f t="shared" si="25"/>
        <v>4,095 км</v>
      </c>
      <c r="P81" s="301"/>
      <c r="Q81" s="188"/>
      <c r="R81" s="184">
        <f>G81</f>
        <v>0.34516179999999996</v>
      </c>
      <c r="S81" s="191"/>
      <c r="T81" s="191"/>
      <c r="U81" s="191"/>
      <c r="V81" s="194">
        <f>SUM(P81:S81)</f>
        <v>0.34516179999999996</v>
      </c>
      <c r="W81" s="195"/>
      <c r="X81" s="199"/>
      <c r="Y81" s="185"/>
      <c r="Z81" s="185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</row>
    <row r="82" spans="1:95" s="2" customFormat="1" ht="15.75">
      <c r="A82" s="241">
        <f t="shared" si="24"/>
        <v>4</v>
      </c>
      <c r="B82" s="238" t="s">
        <v>322</v>
      </c>
      <c r="C82" s="120" t="s">
        <v>36</v>
      </c>
      <c r="D82" s="237" t="s">
        <v>213</v>
      </c>
      <c r="E82" s="120">
        <v>2016</v>
      </c>
      <c r="F82" s="106">
        <v>2016</v>
      </c>
      <c r="G82" s="136">
        <f>3.07125*1.18</f>
        <v>3.624075</v>
      </c>
      <c r="H82" s="16"/>
      <c r="I82" s="35"/>
      <c r="J82" s="85"/>
      <c r="K82" s="16"/>
      <c r="L82" s="26" t="str">
        <f>D82</f>
        <v>4,095 км</v>
      </c>
      <c r="M82" s="26"/>
      <c r="N82" s="26"/>
      <c r="O82" s="162" t="str">
        <f t="shared" si="25"/>
        <v>4,095 км</v>
      </c>
      <c r="P82" s="339"/>
      <c r="Q82" s="136"/>
      <c r="R82" s="16"/>
      <c r="S82" s="17">
        <f>G82</f>
        <v>3.624075</v>
      </c>
      <c r="T82" s="16"/>
      <c r="U82" s="16"/>
      <c r="V82" s="131">
        <f>SUM(P82:T82)</f>
        <v>3.624075</v>
      </c>
      <c r="W82" s="62"/>
      <c r="X82" s="63"/>
      <c r="Y82" s="63"/>
      <c r="Z82" s="6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</row>
    <row r="83" spans="1:95" s="200" customFormat="1" ht="15.75">
      <c r="A83" s="241">
        <f t="shared" si="24"/>
        <v>5</v>
      </c>
      <c r="B83" s="179" t="s">
        <v>323</v>
      </c>
      <c r="C83" s="188" t="s">
        <v>59</v>
      </c>
      <c r="D83" s="198" t="s">
        <v>214</v>
      </c>
      <c r="E83" s="188">
        <v>2015</v>
      </c>
      <c r="F83" s="198">
        <v>2015</v>
      </c>
      <c r="G83" s="349">
        <f>0.04143*1.18</f>
        <v>0.0488874</v>
      </c>
      <c r="H83" s="191"/>
      <c r="I83" s="190"/>
      <c r="J83" s="299"/>
      <c r="K83" s="191" t="str">
        <f>D83</f>
        <v>0,580 км</v>
      </c>
      <c r="L83" s="191"/>
      <c r="M83" s="191"/>
      <c r="N83" s="191"/>
      <c r="O83" s="298" t="str">
        <f t="shared" si="25"/>
        <v>0,580 км</v>
      </c>
      <c r="P83" s="301"/>
      <c r="Q83" s="188"/>
      <c r="R83" s="184">
        <f>G83</f>
        <v>0.0488874</v>
      </c>
      <c r="S83" s="191"/>
      <c r="T83" s="191"/>
      <c r="U83" s="191"/>
      <c r="V83" s="194">
        <f>SUM(P83:S83)</f>
        <v>0.0488874</v>
      </c>
      <c r="W83" s="195"/>
      <c r="X83" s="199"/>
      <c r="Y83" s="185"/>
      <c r="Z83" s="185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</row>
    <row r="84" spans="1:95" s="2" customFormat="1" ht="15.75">
      <c r="A84" s="241">
        <f t="shared" si="24"/>
        <v>6</v>
      </c>
      <c r="B84" s="238" t="s">
        <v>323</v>
      </c>
      <c r="C84" s="120" t="s">
        <v>36</v>
      </c>
      <c r="D84" s="237" t="s">
        <v>275</v>
      </c>
      <c r="E84" s="120">
        <v>2016</v>
      </c>
      <c r="F84" s="106">
        <v>2016</v>
      </c>
      <c r="G84" s="136">
        <f>0.435*1.18</f>
        <v>0.5133</v>
      </c>
      <c r="H84" s="16"/>
      <c r="I84" s="35"/>
      <c r="J84" s="85"/>
      <c r="K84" s="16"/>
      <c r="L84" s="26" t="str">
        <f>D84</f>
        <v>0,58 км</v>
      </c>
      <c r="M84" s="26"/>
      <c r="N84" s="26"/>
      <c r="O84" s="162" t="str">
        <f t="shared" si="25"/>
        <v>0,58 км</v>
      </c>
      <c r="P84" s="339"/>
      <c r="Q84" s="136"/>
      <c r="R84" s="16"/>
      <c r="S84" s="17">
        <f>G84</f>
        <v>0.5133</v>
      </c>
      <c r="T84" s="16"/>
      <c r="U84" s="16"/>
      <c r="V84" s="131">
        <f>SUM(P84:T84)</f>
        <v>0.5133</v>
      </c>
      <c r="W84" s="62"/>
      <c r="X84" s="63"/>
      <c r="Y84" s="63"/>
      <c r="Z84" s="6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</row>
    <row r="85" spans="1:95" s="200" customFormat="1" ht="15.75">
      <c r="A85" s="241">
        <f t="shared" si="24"/>
        <v>7</v>
      </c>
      <c r="B85" s="179" t="s">
        <v>267</v>
      </c>
      <c r="C85" s="188" t="s">
        <v>59</v>
      </c>
      <c r="D85" s="198" t="s">
        <v>268</v>
      </c>
      <c r="E85" s="188">
        <v>2015</v>
      </c>
      <c r="F85" s="198">
        <v>2015</v>
      </c>
      <c r="G85" s="349">
        <f>0.3*1.18</f>
        <v>0.354</v>
      </c>
      <c r="H85" s="191"/>
      <c r="I85" s="190"/>
      <c r="J85" s="299"/>
      <c r="K85" s="191" t="str">
        <f>D85</f>
        <v>5,730 км</v>
      </c>
      <c r="L85" s="191"/>
      <c r="M85" s="191"/>
      <c r="N85" s="191"/>
      <c r="O85" s="298" t="str">
        <f t="shared" si="25"/>
        <v>5,730 км</v>
      </c>
      <c r="P85" s="301"/>
      <c r="Q85" s="188"/>
      <c r="R85" s="184">
        <f>G85</f>
        <v>0.354</v>
      </c>
      <c r="S85" s="191"/>
      <c r="T85" s="191"/>
      <c r="U85" s="191"/>
      <c r="V85" s="194">
        <f>SUM(P85:S85)</f>
        <v>0.354</v>
      </c>
      <c r="W85" s="195"/>
      <c r="X85" s="199"/>
      <c r="Y85" s="185"/>
      <c r="Z85" s="185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</row>
    <row r="86" spans="1:95" s="2" customFormat="1" ht="15.75">
      <c r="A86" s="241">
        <f t="shared" si="24"/>
        <v>8</v>
      </c>
      <c r="B86" s="238" t="s">
        <v>267</v>
      </c>
      <c r="C86" s="120" t="s">
        <v>36</v>
      </c>
      <c r="D86" s="237" t="s">
        <v>74</v>
      </c>
      <c r="E86" s="120">
        <v>2016</v>
      </c>
      <c r="F86" s="106">
        <v>2016</v>
      </c>
      <c r="G86" s="136">
        <f>3.64381*1.18</f>
        <v>4.2996958</v>
      </c>
      <c r="H86" s="16"/>
      <c r="I86" s="35"/>
      <c r="J86" s="85"/>
      <c r="K86" s="16"/>
      <c r="L86" s="382" t="str">
        <f>D86</f>
        <v>5,73 км</v>
      </c>
      <c r="M86" s="26"/>
      <c r="N86" s="26"/>
      <c r="O86" s="162" t="str">
        <f t="shared" si="25"/>
        <v>5,73 км</v>
      </c>
      <c r="P86" s="339"/>
      <c r="Q86" s="136"/>
      <c r="R86" s="16"/>
      <c r="S86" s="17">
        <f>G86</f>
        <v>4.2996958</v>
      </c>
      <c r="T86" s="16"/>
      <c r="U86" s="16"/>
      <c r="V86" s="131">
        <f>SUM(P86:T86)</f>
        <v>4.2996958</v>
      </c>
      <c r="W86" s="62"/>
      <c r="X86" s="63"/>
      <c r="Y86" s="63"/>
      <c r="Z86" s="6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</row>
    <row r="87" spans="1:95" s="2" customFormat="1" ht="31.5">
      <c r="A87" s="241">
        <f t="shared" si="24"/>
        <v>9</v>
      </c>
      <c r="B87" s="91" t="s">
        <v>281</v>
      </c>
      <c r="C87" s="120" t="s">
        <v>59</v>
      </c>
      <c r="D87" s="58" t="s">
        <v>282</v>
      </c>
      <c r="E87" s="120">
        <v>2016</v>
      </c>
      <c r="F87" s="106">
        <v>2016</v>
      </c>
      <c r="G87" s="136">
        <f>0.4093*1.18</f>
        <v>0.48297399999999996</v>
      </c>
      <c r="H87" s="16"/>
      <c r="I87" s="35"/>
      <c r="J87" s="85"/>
      <c r="K87" s="106"/>
      <c r="L87" s="16" t="str">
        <f>D87</f>
        <v>КТПН-1шт., ВЛ-0,4 кВ - 1,960 км</v>
      </c>
      <c r="M87" s="381"/>
      <c r="N87" s="26"/>
      <c r="O87" s="162" t="str">
        <f t="shared" si="25"/>
        <v>КТПН-1шт., ВЛ-0,4 кВ - 1,960 км</v>
      </c>
      <c r="P87" s="339"/>
      <c r="Q87" s="136"/>
      <c r="R87" s="16"/>
      <c r="S87" s="17">
        <f>G87</f>
        <v>0.48297399999999996</v>
      </c>
      <c r="T87" s="16"/>
      <c r="U87" s="16"/>
      <c r="V87" s="131">
        <f>SUM(P87:T87)</f>
        <v>0.48297399999999996</v>
      </c>
      <c r="W87" s="62"/>
      <c r="X87" s="63"/>
      <c r="Y87" s="63"/>
      <c r="Z87" s="6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</row>
    <row r="88" spans="1:95" s="224" customFormat="1" ht="15.75">
      <c r="A88" s="241">
        <f t="shared" si="24"/>
        <v>10</v>
      </c>
      <c r="B88" s="211" t="s">
        <v>324</v>
      </c>
      <c r="C88" s="215" t="s">
        <v>59</v>
      </c>
      <c r="D88" s="216" t="s">
        <v>156</v>
      </c>
      <c r="E88" s="215">
        <v>2017</v>
      </c>
      <c r="F88" s="214">
        <v>2017</v>
      </c>
      <c r="G88" s="375">
        <f>0.25*1.18</f>
        <v>0.295</v>
      </c>
      <c r="H88" s="218"/>
      <c r="I88" s="217"/>
      <c r="J88" s="361"/>
      <c r="K88" s="219"/>
      <c r="L88" s="220"/>
      <c r="M88" s="221" t="str">
        <f>D88</f>
        <v>4,4 км</v>
      </c>
      <c r="N88" s="221"/>
      <c r="O88" s="222" t="str">
        <f>M88</f>
        <v>4,4 км</v>
      </c>
      <c r="P88" s="335"/>
      <c r="Q88" s="223"/>
      <c r="R88" s="221"/>
      <c r="S88" s="225"/>
      <c r="T88" s="212">
        <f>G88</f>
        <v>0.295</v>
      </c>
      <c r="U88" s="212"/>
      <c r="V88" s="307">
        <f>T88</f>
        <v>0.295</v>
      </c>
      <c r="W88" s="213"/>
      <c r="X88" s="72"/>
      <c r="Y88" s="72"/>
      <c r="Z88" s="72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</row>
    <row r="89" spans="1:95" s="224" customFormat="1" ht="15.75">
      <c r="A89" s="241">
        <v>11</v>
      </c>
      <c r="B89" s="211" t="s">
        <v>325</v>
      </c>
      <c r="C89" s="215" t="s">
        <v>59</v>
      </c>
      <c r="D89" s="216" t="s">
        <v>147</v>
      </c>
      <c r="E89" s="215">
        <v>2017</v>
      </c>
      <c r="F89" s="214">
        <v>2017</v>
      </c>
      <c r="G89" s="375">
        <f>0.208*1.18</f>
        <v>0.24543999999999996</v>
      </c>
      <c r="H89" s="218"/>
      <c r="I89" s="217"/>
      <c r="J89" s="361"/>
      <c r="K89" s="219"/>
      <c r="L89" s="383"/>
      <c r="M89" s="221" t="str">
        <f>D89</f>
        <v>2,8 км</v>
      </c>
      <c r="N89" s="221"/>
      <c r="O89" s="222" t="str">
        <f>M89</f>
        <v>2,8 км</v>
      </c>
      <c r="P89" s="335"/>
      <c r="Q89" s="223"/>
      <c r="R89" s="221"/>
      <c r="S89" s="225"/>
      <c r="T89" s="212">
        <f>G89</f>
        <v>0.24543999999999996</v>
      </c>
      <c r="U89" s="212"/>
      <c r="V89" s="307">
        <f>T89</f>
        <v>0.24543999999999996</v>
      </c>
      <c r="W89" s="213"/>
      <c r="X89" s="72"/>
      <c r="Y89" s="72"/>
      <c r="Z89" s="72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</row>
    <row r="90" spans="1:95" s="236" customFormat="1" ht="15.75">
      <c r="A90" s="241">
        <f t="shared" si="24"/>
        <v>12</v>
      </c>
      <c r="B90" s="205" t="s">
        <v>325</v>
      </c>
      <c r="C90" s="226" t="s">
        <v>36</v>
      </c>
      <c r="D90" s="227" t="s">
        <v>147</v>
      </c>
      <c r="E90" s="226">
        <v>2018</v>
      </c>
      <c r="F90" s="310">
        <v>2018</v>
      </c>
      <c r="G90" s="376">
        <f>2.1*1.18</f>
        <v>2.4779999999999998</v>
      </c>
      <c r="H90" s="229"/>
      <c r="I90" s="228"/>
      <c r="J90" s="363"/>
      <c r="K90" s="230"/>
      <c r="L90" s="231"/>
      <c r="M90" s="232"/>
      <c r="N90" s="232" t="str">
        <f>D90</f>
        <v>2,8 км</v>
      </c>
      <c r="O90" s="233" t="str">
        <f>D90</f>
        <v>2,8 км</v>
      </c>
      <c r="P90" s="337"/>
      <c r="Q90" s="234"/>
      <c r="R90" s="232"/>
      <c r="S90" s="235"/>
      <c r="T90" s="206"/>
      <c r="U90" s="206">
        <f>G90</f>
        <v>2.4779999999999998</v>
      </c>
      <c r="V90" s="308">
        <f>SUM(Q90:U90)</f>
        <v>2.4779999999999998</v>
      </c>
      <c r="W90" s="207"/>
      <c r="X90" s="208"/>
      <c r="Y90" s="208"/>
      <c r="Z90" s="208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</row>
    <row r="91" spans="1:95" s="224" customFormat="1" ht="15.75">
      <c r="A91" s="241">
        <f t="shared" si="24"/>
        <v>13</v>
      </c>
      <c r="B91" s="211" t="s">
        <v>326</v>
      </c>
      <c r="C91" s="215" t="s">
        <v>59</v>
      </c>
      <c r="D91" s="216" t="s">
        <v>239</v>
      </c>
      <c r="E91" s="215">
        <v>2017</v>
      </c>
      <c r="F91" s="214">
        <v>2017</v>
      </c>
      <c r="G91" s="375">
        <f>0.31554*1.18</f>
        <v>0.3723372</v>
      </c>
      <c r="H91" s="218"/>
      <c r="I91" s="217"/>
      <c r="J91" s="361"/>
      <c r="K91" s="219"/>
      <c r="L91" s="220"/>
      <c r="M91" s="221" t="str">
        <f>D91</f>
        <v>4,245 км</v>
      </c>
      <c r="N91" s="221"/>
      <c r="O91" s="222" t="str">
        <f>M91</f>
        <v>4,245 км</v>
      </c>
      <c r="P91" s="335"/>
      <c r="Q91" s="223"/>
      <c r="R91" s="221"/>
      <c r="S91" s="225"/>
      <c r="T91" s="212">
        <f>G91</f>
        <v>0.3723372</v>
      </c>
      <c r="U91" s="212"/>
      <c r="V91" s="307">
        <f>T91</f>
        <v>0.3723372</v>
      </c>
      <c r="W91" s="213"/>
      <c r="X91" s="72"/>
      <c r="Y91" s="72"/>
      <c r="Z91" s="72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</row>
    <row r="92" spans="1:95" s="236" customFormat="1" ht="15.75">
      <c r="A92" s="241">
        <f t="shared" si="24"/>
        <v>14</v>
      </c>
      <c r="B92" s="205" t="s">
        <v>326</v>
      </c>
      <c r="C92" s="226" t="s">
        <v>36</v>
      </c>
      <c r="D92" s="227" t="s">
        <v>239</v>
      </c>
      <c r="E92" s="226">
        <v>2018</v>
      </c>
      <c r="F92" s="310">
        <v>2018</v>
      </c>
      <c r="G92" s="376">
        <f>3.18375*1.18</f>
        <v>3.7568249999999996</v>
      </c>
      <c r="H92" s="229"/>
      <c r="I92" s="228"/>
      <c r="J92" s="363"/>
      <c r="K92" s="230"/>
      <c r="L92" s="231"/>
      <c r="M92" s="232"/>
      <c r="N92" s="232" t="str">
        <f>D92</f>
        <v>4,245 км</v>
      </c>
      <c r="O92" s="233" t="str">
        <f>D92</f>
        <v>4,245 км</v>
      </c>
      <c r="P92" s="337"/>
      <c r="Q92" s="234"/>
      <c r="R92" s="232"/>
      <c r="S92" s="235"/>
      <c r="T92" s="206"/>
      <c r="U92" s="206">
        <f>G92</f>
        <v>3.7568249999999996</v>
      </c>
      <c r="V92" s="308">
        <f>SUM(Q92:U92)</f>
        <v>3.7568249999999996</v>
      </c>
      <c r="W92" s="207"/>
      <c r="X92" s="208"/>
      <c r="Y92" s="208"/>
      <c r="Z92" s="208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</row>
    <row r="93" spans="1:95" s="21" customFormat="1" ht="15.75">
      <c r="A93" s="36" t="s">
        <v>75</v>
      </c>
      <c r="B93" s="92" t="s">
        <v>211</v>
      </c>
      <c r="C93" s="43"/>
      <c r="D93" s="41"/>
      <c r="E93" s="43"/>
      <c r="F93" s="41"/>
      <c r="G93" s="135">
        <f>SUM(G94:G96)</f>
        <v>34.2857968</v>
      </c>
      <c r="H93" s="8"/>
      <c r="I93" s="4"/>
      <c r="J93" s="362"/>
      <c r="K93" s="3"/>
      <c r="L93" s="3"/>
      <c r="M93" s="3"/>
      <c r="N93" s="3"/>
      <c r="O93" s="154"/>
      <c r="P93" s="161" t="e">
        <f>SUM(P97:P97)</f>
        <v>#REF!</v>
      </c>
      <c r="Q93" s="135">
        <f>SUM(Q95:Q95)</f>
        <v>0</v>
      </c>
      <c r="R93" s="8">
        <f>SUM(R95:R95)</f>
        <v>0</v>
      </c>
      <c r="S93" s="8">
        <f>SUM(S94:S95)</f>
        <v>4.461933999999999</v>
      </c>
      <c r="T93" s="8">
        <f>SUM(T94:T95)</f>
        <v>6.4424814</v>
      </c>
      <c r="U93" s="8">
        <f>SUM(U94:U96)</f>
        <v>23.3813814</v>
      </c>
      <c r="V93" s="129">
        <f>SUM(V94:V96)</f>
        <v>34.2857968</v>
      </c>
      <c r="W93" s="62"/>
      <c r="X93" s="74"/>
      <c r="Y93" s="73"/>
      <c r="Z93" s="73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</row>
    <row r="94" spans="1:95" s="2" customFormat="1" ht="15.75">
      <c r="A94" s="241">
        <v>1</v>
      </c>
      <c r="B94" s="238" t="s">
        <v>340</v>
      </c>
      <c r="C94" s="120" t="s">
        <v>36</v>
      </c>
      <c r="D94" s="237" t="s">
        <v>230</v>
      </c>
      <c r="E94" s="120">
        <v>2016</v>
      </c>
      <c r="F94" s="106">
        <v>2016</v>
      </c>
      <c r="G94" s="136">
        <f>3.7813*1.18</f>
        <v>4.461933999999999</v>
      </c>
      <c r="H94" s="16"/>
      <c r="I94" s="35"/>
      <c r="J94" s="85"/>
      <c r="K94" s="16"/>
      <c r="L94" s="26" t="str">
        <f>D94</f>
        <v>5,935 км</v>
      </c>
      <c r="M94" s="26"/>
      <c r="N94" s="26"/>
      <c r="O94" s="162" t="str">
        <f>D94</f>
        <v>5,935 км</v>
      </c>
      <c r="P94" s="339"/>
      <c r="Q94" s="136"/>
      <c r="R94" s="16"/>
      <c r="S94" s="17">
        <f>G94</f>
        <v>4.461933999999999</v>
      </c>
      <c r="T94" s="16"/>
      <c r="U94" s="16"/>
      <c r="V94" s="131">
        <f>SUM(P94:T94)</f>
        <v>4.461933999999999</v>
      </c>
      <c r="W94" s="62"/>
      <c r="X94" s="63"/>
      <c r="Y94" s="63"/>
      <c r="Z94" s="6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</row>
    <row r="95" spans="1:95" s="224" customFormat="1" ht="15.75">
      <c r="A95" s="241">
        <f>A94+1</f>
        <v>2</v>
      </c>
      <c r="B95" s="211" t="s">
        <v>341</v>
      </c>
      <c r="C95" s="215" t="s">
        <v>36</v>
      </c>
      <c r="D95" s="216" t="s">
        <v>232</v>
      </c>
      <c r="E95" s="215">
        <v>2017</v>
      </c>
      <c r="F95" s="214">
        <v>2017</v>
      </c>
      <c r="G95" s="375">
        <f>5.45973*1.18</f>
        <v>6.4424814</v>
      </c>
      <c r="H95" s="218"/>
      <c r="I95" s="217"/>
      <c r="J95" s="361"/>
      <c r="K95" s="219"/>
      <c r="L95" s="220"/>
      <c r="M95" s="221" t="str">
        <f>D95</f>
        <v>3,575 км</v>
      </c>
      <c r="N95" s="221"/>
      <c r="O95" s="222" t="str">
        <f>M95</f>
        <v>3,575 км</v>
      </c>
      <c r="P95" s="335"/>
      <c r="Q95" s="223"/>
      <c r="R95" s="221"/>
      <c r="S95" s="225"/>
      <c r="T95" s="212">
        <f>G95</f>
        <v>6.4424814</v>
      </c>
      <c r="U95" s="212"/>
      <c r="V95" s="307">
        <f>T95</f>
        <v>6.4424814</v>
      </c>
      <c r="W95" s="213"/>
      <c r="X95" s="72"/>
      <c r="Y95" s="72"/>
      <c r="Z95" s="72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</row>
    <row r="96" spans="1:95" s="236" customFormat="1" ht="15.75">
      <c r="A96" s="241">
        <f>A95+1</f>
        <v>3</v>
      </c>
      <c r="B96" s="205" t="s">
        <v>342</v>
      </c>
      <c r="C96" s="226" t="s">
        <v>36</v>
      </c>
      <c r="D96" s="227" t="s">
        <v>309</v>
      </c>
      <c r="E96" s="226">
        <v>2018</v>
      </c>
      <c r="F96" s="310">
        <v>2018</v>
      </c>
      <c r="G96" s="376">
        <f>19.81473*1.18</f>
        <v>23.3813814</v>
      </c>
      <c r="H96" s="229"/>
      <c r="I96" s="228"/>
      <c r="J96" s="363"/>
      <c r="K96" s="230"/>
      <c r="L96" s="231"/>
      <c r="M96" s="232"/>
      <c r="N96" s="232" t="str">
        <f>D96</f>
        <v>5,44 км</v>
      </c>
      <c r="O96" s="233" t="str">
        <f>D96</f>
        <v>5,44 км</v>
      </c>
      <c r="P96" s="337"/>
      <c r="Q96" s="234"/>
      <c r="R96" s="232"/>
      <c r="S96" s="235"/>
      <c r="T96" s="206"/>
      <c r="U96" s="206">
        <f>G96</f>
        <v>23.3813814</v>
      </c>
      <c r="V96" s="308">
        <f>SUM(Q96:U96)</f>
        <v>23.3813814</v>
      </c>
      <c r="W96" s="207"/>
      <c r="X96" s="208"/>
      <c r="Y96" s="208"/>
      <c r="Z96" s="208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</row>
    <row r="97" spans="1:95" s="21" customFormat="1" ht="15.75">
      <c r="A97" s="36" t="s">
        <v>76</v>
      </c>
      <c r="B97" s="92" t="s">
        <v>39</v>
      </c>
      <c r="C97" s="43"/>
      <c r="D97" s="41"/>
      <c r="E97" s="43"/>
      <c r="F97" s="41"/>
      <c r="G97" s="135">
        <f>SUM(G98:G106)</f>
        <v>33.2089642</v>
      </c>
      <c r="H97" s="8"/>
      <c r="I97" s="4"/>
      <c r="J97" s="362"/>
      <c r="K97" s="3"/>
      <c r="L97" s="3"/>
      <c r="M97" s="3"/>
      <c r="N97" s="3"/>
      <c r="O97" s="154"/>
      <c r="P97" s="161" t="e">
        <f>SUM(#REF!)</f>
        <v>#REF!</v>
      </c>
      <c r="Q97" s="135">
        <f aca="true" t="shared" si="26" ref="Q97:V97">SUM(Q98:Q106)</f>
        <v>9.527013199999999</v>
      </c>
      <c r="R97" s="135">
        <f t="shared" si="26"/>
        <v>8.829951799999998</v>
      </c>
      <c r="S97" s="135">
        <f t="shared" si="26"/>
        <v>10.869499199999998</v>
      </c>
      <c r="T97" s="135">
        <f t="shared" si="26"/>
        <v>3.9825</v>
      </c>
      <c r="U97" s="135">
        <f t="shared" si="26"/>
        <v>0</v>
      </c>
      <c r="V97" s="135">
        <f t="shared" si="26"/>
        <v>33.2089642</v>
      </c>
      <c r="W97" s="62"/>
      <c r="X97" s="74"/>
      <c r="Y97" s="73"/>
      <c r="Z97" s="73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</row>
    <row r="98" spans="1:95" s="258" customFormat="1" ht="31.5">
      <c r="A98" s="241">
        <v>1</v>
      </c>
      <c r="B98" s="242" t="s">
        <v>343</v>
      </c>
      <c r="C98" s="243" t="s">
        <v>36</v>
      </c>
      <c r="D98" s="244" t="s">
        <v>146</v>
      </c>
      <c r="E98" s="243">
        <v>2014</v>
      </c>
      <c r="F98" s="244">
        <v>2014</v>
      </c>
      <c r="G98" s="257">
        <f>3.93201*1.18</f>
        <v>4.6397718</v>
      </c>
      <c r="H98" s="249"/>
      <c r="I98" s="245"/>
      <c r="J98" s="277" t="str">
        <f>D98</f>
        <v>3,6 км</v>
      </c>
      <c r="K98" s="247"/>
      <c r="L98" s="247"/>
      <c r="M98" s="255"/>
      <c r="N98" s="255"/>
      <c r="O98" s="256" t="str">
        <f aca="true" t="shared" si="27" ref="O98:O104">D98</f>
        <v>3,6 км</v>
      </c>
      <c r="P98" s="336"/>
      <c r="Q98" s="257">
        <f>G98</f>
        <v>4.6397718</v>
      </c>
      <c r="R98" s="247"/>
      <c r="S98" s="247"/>
      <c r="T98" s="249"/>
      <c r="U98" s="249"/>
      <c r="V98" s="250">
        <f aca="true" t="shared" si="28" ref="V98:V104">SUM(P98:S98)</f>
        <v>4.6397718</v>
      </c>
      <c r="W98" s="251"/>
      <c r="X98" s="252"/>
      <c r="Y98" s="252"/>
      <c r="Z98" s="252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</row>
    <row r="99" spans="1:95" s="258" customFormat="1" ht="31.5">
      <c r="A99" s="241">
        <f aca="true" t="shared" si="29" ref="A99:A106">A98+1</f>
        <v>2</v>
      </c>
      <c r="B99" s="242" t="s">
        <v>344</v>
      </c>
      <c r="C99" s="243" t="s">
        <v>36</v>
      </c>
      <c r="D99" s="244" t="s">
        <v>117</v>
      </c>
      <c r="E99" s="243">
        <v>2014</v>
      </c>
      <c r="F99" s="244">
        <v>2014</v>
      </c>
      <c r="G99" s="257">
        <f>4.14173*1.18</f>
        <v>4.8872414</v>
      </c>
      <c r="H99" s="249"/>
      <c r="I99" s="245"/>
      <c r="J99" s="277" t="str">
        <f>D99</f>
        <v>2,2 км</v>
      </c>
      <c r="K99" s="247"/>
      <c r="L99" s="247"/>
      <c r="M99" s="255"/>
      <c r="N99" s="255"/>
      <c r="O99" s="256" t="str">
        <f t="shared" si="27"/>
        <v>2,2 км</v>
      </c>
      <c r="P99" s="336"/>
      <c r="Q99" s="257">
        <f>G99</f>
        <v>4.8872414</v>
      </c>
      <c r="R99" s="247"/>
      <c r="S99" s="247"/>
      <c r="T99" s="249"/>
      <c r="U99" s="249"/>
      <c r="V99" s="250">
        <f t="shared" si="28"/>
        <v>4.8872414</v>
      </c>
      <c r="W99" s="251"/>
      <c r="X99" s="252"/>
      <c r="Y99" s="252"/>
      <c r="Z99" s="252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</row>
    <row r="100" spans="1:95" s="200" customFormat="1" ht="31.5">
      <c r="A100" s="241">
        <f t="shared" si="29"/>
        <v>3</v>
      </c>
      <c r="B100" s="179" t="s">
        <v>345</v>
      </c>
      <c r="C100" s="188" t="s">
        <v>36</v>
      </c>
      <c r="D100" s="198" t="s">
        <v>212</v>
      </c>
      <c r="E100" s="188">
        <v>2015</v>
      </c>
      <c r="F100" s="198">
        <v>2015</v>
      </c>
      <c r="G100" s="349">
        <f>7.46158*1.18</f>
        <v>8.804664399999998</v>
      </c>
      <c r="H100" s="191"/>
      <c r="I100" s="190"/>
      <c r="J100" s="299"/>
      <c r="K100" s="191" t="str">
        <f>D100</f>
        <v>5,3 км</v>
      </c>
      <c r="L100" s="191"/>
      <c r="M100" s="191"/>
      <c r="N100" s="191"/>
      <c r="O100" s="298" t="str">
        <f t="shared" si="27"/>
        <v>5,3 км</v>
      </c>
      <c r="P100" s="301"/>
      <c r="Q100" s="188"/>
      <c r="R100" s="184">
        <f>G100</f>
        <v>8.804664399999998</v>
      </c>
      <c r="S100" s="191"/>
      <c r="T100" s="191"/>
      <c r="U100" s="191"/>
      <c r="V100" s="194">
        <f t="shared" si="28"/>
        <v>8.804664399999998</v>
      </c>
      <c r="W100" s="195"/>
      <c r="X100" s="199"/>
      <c r="Y100" s="185"/>
      <c r="Z100" s="185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</row>
    <row r="101" spans="1:95" s="200" customFormat="1" ht="15.75">
      <c r="A101" s="241">
        <f t="shared" si="29"/>
        <v>4</v>
      </c>
      <c r="B101" s="179" t="s">
        <v>346</v>
      </c>
      <c r="C101" s="188" t="s">
        <v>59</v>
      </c>
      <c r="D101" s="198" t="s">
        <v>144</v>
      </c>
      <c r="E101" s="188">
        <v>2015</v>
      </c>
      <c r="F101" s="198">
        <v>2015</v>
      </c>
      <c r="G101" s="349">
        <f>0.02143*1.18</f>
        <v>0.0252874</v>
      </c>
      <c r="H101" s="191"/>
      <c r="I101" s="190"/>
      <c r="J101" s="299"/>
      <c r="K101" s="191" t="str">
        <f>D101</f>
        <v>0,3 км</v>
      </c>
      <c r="L101" s="191"/>
      <c r="M101" s="191"/>
      <c r="N101" s="191"/>
      <c r="O101" s="298" t="str">
        <f t="shared" si="27"/>
        <v>0,3 км</v>
      </c>
      <c r="P101" s="301"/>
      <c r="Q101" s="188"/>
      <c r="R101" s="184">
        <f>G101</f>
        <v>0.0252874</v>
      </c>
      <c r="S101" s="191"/>
      <c r="T101" s="191"/>
      <c r="U101" s="191"/>
      <c r="V101" s="194">
        <f t="shared" si="28"/>
        <v>0.0252874</v>
      </c>
      <c r="W101" s="195"/>
      <c r="X101" s="199"/>
      <c r="Y101" s="185"/>
      <c r="Z101" s="185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</row>
    <row r="102" spans="1:95" s="2" customFormat="1" ht="15.75">
      <c r="A102" s="241">
        <f t="shared" si="29"/>
        <v>5</v>
      </c>
      <c r="B102" s="238" t="s">
        <v>346</v>
      </c>
      <c r="C102" s="120" t="s">
        <v>36</v>
      </c>
      <c r="D102" s="237" t="s">
        <v>144</v>
      </c>
      <c r="E102" s="120">
        <v>2016</v>
      </c>
      <c r="F102" s="106">
        <v>2016</v>
      </c>
      <c r="G102" s="136">
        <f>0.225*1.18</f>
        <v>0.2655</v>
      </c>
      <c r="H102" s="16"/>
      <c r="I102" s="35"/>
      <c r="J102" s="85"/>
      <c r="K102" s="16"/>
      <c r="L102" s="26" t="str">
        <f>D102</f>
        <v>0,3 км</v>
      </c>
      <c r="M102" s="26"/>
      <c r="N102" s="26"/>
      <c r="O102" s="162" t="str">
        <f t="shared" si="27"/>
        <v>0,3 км</v>
      </c>
      <c r="P102" s="339"/>
      <c r="Q102" s="136"/>
      <c r="R102" s="16"/>
      <c r="S102" s="17">
        <f>G102</f>
        <v>0.2655</v>
      </c>
      <c r="T102" s="16"/>
      <c r="U102" s="16"/>
      <c r="V102" s="131">
        <f t="shared" si="28"/>
        <v>0.2655</v>
      </c>
      <c r="W102" s="62"/>
      <c r="X102" s="63"/>
      <c r="Y102" s="63"/>
      <c r="Z102" s="6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</row>
    <row r="103" spans="1:95" s="2" customFormat="1" ht="15.75">
      <c r="A103" s="241">
        <f t="shared" si="29"/>
        <v>6</v>
      </c>
      <c r="B103" s="238" t="s">
        <v>221</v>
      </c>
      <c r="C103" s="120" t="s">
        <v>36</v>
      </c>
      <c r="D103" s="237" t="s">
        <v>113</v>
      </c>
      <c r="E103" s="120">
        <v>2016</v>
      </c>
      <c r="F103" s="106">
        <v>2016</v>
      </c>
      <c r="G103" s="136">
        <f>1.5*1.18</f>
        <v>1.77</v>
      </c>
      <c r="H103" s="16"/>
      <c r="I103" s="35"/>
      <c r="J103" s="85"/>
      <c r="K103" s="16"/>
      <c r="L103" s="26" t="str">
        <f>D103</f>
        <v>2 км</v>
      </c>
      <c r="M103" s="26"/>
      <c r="N103" s="26"/>
      <c r="O103" s="162" t="str">
        <f t="shared" si="27"/>
        <v>2 км</v>
      </c>
      <c r="P103" s="339"/>
      <c r="Q103" s="136"/>
      <c r="R103" s="16"/>
      <c r="S103" s="17">
        <f>G103</f>
        <v>1.77</v>
      </c>
      <c r="T103" s="16"/>
      <c r="U103" s="16"/>
      <c r="V103" s="131">
        <f t="shared" si="28"/>
        <v>1.77</v>
      </c>
      <c r="W103" s="62"/>
      <c r="X103" s="63"/>
      <c r="Y103" s="63"/>
      <c r="Z103" s="6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</row>
    <row r="104" spans="1:95" s="2" customFormat="1" ht="15.75">
      <c r="A104" s="241">
        <f t="shared" si="29"/>
        <v>7</v>
      </c>
      <c r="B104" s="238" t="s">
        <v>222</v>
      </c>
      <c r="C104" s="120" t="s">
        <v>36</v>
      </c>
      <c r="D104" s="237" t="s">
        <v>229</v>
      </c>
      <c r="E104" s="120">
        <v>2016</v>
      </c>
      <c r="F104" s="106">
        <v>2016</v>
      </c>
      <c r="G104" s="136">
        <f>7.165*1.18</f>
        <v>8.454699999999999</v>
      </c>
      <c r="H104" s="16"/>
      <c r="I104" s="35"/>
      <c r="J104" s="85"/>
      <c r="K104" s="16"/>
      <c r="L104" s="26" t="str">
        <f>D104</f>
        <v>12,7 км</v>
      </c>
      <c r="M104" s="26"/>
      <c r="N104" s="26"/>
      <c r="O104" s="162" t="str">
        <f t="shared" si="27"/>
        <v>12,7 км</v>
      </c>
      <c r="P104" s="339"/>
      <c r="Q104" s="136"/>
      <c r="R104" s="16"/>
      <c r="S104" s="17">
        <f>G104</f>
        <v>8.454699999999999</v>
      </c>
      <c r="T104" s="16"/>
      <c r="U104" s="16"/>
      <c r="V104" s="131">
        <f t="shared" si="28"/>
        <v>8.454699999999999</v>
      </c>
      <c r="W104" s="62"/>
      <c r="X104" s="63"/>
      <c r="Y104" s="63"/>
      <c r="Z104" s="6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</row>
    <row r="105" spans="1:95" s="2" customFormat="1" ht="15.75">
      <c r="A105" s="241">
        <f t="shared" si="29"/>
        <v>8</v>
      </c>
      <c r="B105" s="238" t="s">
        <v>347</v>
      </c>
      <c r="C105" s="120" t="s">
        <v>59</v>
      </c>
      <c r="D105" s="237" t="s">
        <v>228</v>
      </c>
      <c r="E105" s="120">
        <v>2016</v>
      </c>
      <c r="F105" s="106">
        <v>2016</v>
      </c>
      <c r="G105" s="136">
        <f>0.32144*1.18</f>
        <v>0.3792992</v>
      </c>
      <c r="H105" s="16"/>
      <c r="I105" s="35"/>
      <c r="J105" s="85"/>
      <c r="K105" s="16"/>
      <c r="L105" s="26" t="str">
        <f>D105</f>
        <v>4,5 км</v>
      </c>
      <c r="M105" s="26"/>
      <c r="N105" s="26"/>
      <c r="O105" s="162" t="str">
        <f>D105</f>
        <v>4,5 км</v>
      </c>
      <c r="P105" s="339"/>
      <c r="Q105" s="136"/>
      <c r="R105" s="16"/>
      <c r="S105" s="17">
        <f>G105</f>
        <v>0.3792992</v>
      </c>
      <c r="T105" s="16"/>
      <c r="U105" s="16"/>
      <c r="V105" s="131">
        <f>SUM(P105:T105)</f>
        <v>0.3792992</v>
      </c>
      <c r="W105" s="62"/>
      <c r="X105" s="63"/>
      <c r="Y105" s="63"/>
      <c r="Z105" s="6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</row>
    <row r="106" spans="1:95" s="224" customFormat="1" ht="15.75">
      <c r="A106" s="241">
        <f t="shared" si="29"/>
        <v>9</v>
      </c>
      <c r="B106" s="211" t="s">
        <v>348</v>
      </c>
      <c r="C106" s="215" t="s">
        <v>36</v>
      </c>
      <c r="D106" s="216" t="s">
        <v>228</v>
      </c>
      <c r="E106" s="215">
        <v>2017</v>
      </c>
      <c r="F106" s="214">
        <v>2017</v>
      </c>
      <c r="G106" s="375">
        <f>3.375*1.18</f>
        <v>3.9825</v>
      </c>
      <c r="H106" s="218"/>
      <c r="I106" s="217"/>
      <c r="J106" s="361"/>
      <c r="K106" s="219"/>
      <c r="L106" s="220"/>
      <c r="M106" s="221" t="str">
        <f>D106</f>
        <v>4,5 км</v>
      </c>
      <c r="N106" s="221"/>
      <c r="O106" s="222" t="str">
        <f>M106</f>
        <v>4,5 км</v>
      </c>
      <c r="P106" s="335"/>
      <c r="Q106" s="223"/>
      <c r="R106" s="221"/>
      <c r="S106" s="225"/>
      <c r="T106" s="212">
        <f>G106</f>
        <v>3.9825</v>
      </c>
      <c r="U106" s="212"/>
      <c r="V106" s="307">
        <f>T106</f>
        <v>3.9825</v>
      </c>
      <c r="W106" s="213"/>
      <c r="X106" s="72"/>
      <c r="Y106" s="72"/>
      <c r="Z106" s="72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</row>
    <row r="107" spans="1:95" s="22" customFormat="1" ht="21.75" customHeight="1">
      <c r="A107" s="79" t="s">
        <v>77</v>
      </c>
      <c r="B107" s="93" t="s">
        <v>78</v>
      </c>
      <c r="C107" s="123"/>
      <c r="D107" s="107"/>
      <c r="E107" s="123"/>
      <c r="F107" s="107"/>
      <c r="G107" s="133">
        <f>G108+G118</f>
        <v>45.321015200000005</v>
      </c>
      <c r="H107" s="12"/>
      <c r="I107" s="124"/>
      <c r="J107" s="364"/>
      <c r="K107" s="12"/>
      <c r="L107" s="12"/>
      <c r="M107" s="12"/>
      <c r="N107" s="12"/>
      <c r="O107" s="314"/>
      <c r="P107" s="333"/>
      <c r="Q107" s="133">
        <f aca="true" t="shared" si="30" ref="Q107:V107">Q108+Q118</f>
        <v>2.2209841999999997</v>
      </c>
      <c r="R107" s="14">
        <f t="shared" si="30"/>
        <v>22.038128399999998</v>
      </c>
      <c r="S107" s="14">
        <f t="shared" si="30"/>
        <v>9.232402599999999</v>
      </c>
      <c r="T107" s="14">
        <f t="shared" si="30"/>
        <v>0.413</v>
      </c>
      <c r="U107" s="14">
        <f t="shared" si="30"/>
        <v>11.416500000000001</v>
      </c>
      <c r="V107" s="134">
        <f t="shared" si="30"/>
        <v>45.321015200000005</v>
      </c>
      <c r="W107" s="62"/>
      <c r="X107" s="74"/>
      <c r="Y107" s="73"/>
      <c r="Z107" s="73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</row>
    <row r="108" spans="1:95" s="20" customFormat="1" ht="24" customHeight="1">
      <c r="A108" s="36" t="s">
        <v>79</v>
      </c>
      <c r="B108" s="92" t="s">
        <v>35</v>
      </c>
      <c r="C108" s="120"/>
      <c r="D108" s="106"/>
      <c r="E108" s="120"/>
      <c r="F108" s="106"/>
      <c r="G108" s="135">
        <f>SUM(G109:G117)</f>
        <v>24.785168400000003</v>
      </c>
      <c r="H108" s="16"/>
      <c r="I108" s="35"/>
      <c r="J108" s="85"/>
      <c r="K108" s="16"/>
      <c r="L108" s="16"/>
      <c r="M108" s="16"/>
      <c r="N108" s="16"/>
      <c r="O108" s="162"/>
      <c r="P108" s="161">
        <f>SUM(P109:P115)</f>
        <v>0</v>
      </c>
      <c r="Q108" s="135">
        <f aca="true" t="shared" si="31" ref="Q108:V108">SUM(Q109:Q117)</f>
        <v>0.41653999999999997</v>
      </c>
      <c r="R108" s="8">
        <f t="shared" si="31"/>
        <v>12.5391284</v>
      </c>
      <c r="S108" s="8">
        <f t="shared" si="31"/>
        <v>0</v>
      </c>
      <c r="T108" s="8">
        <f t="shared" si="31"/>
        <v>0.413</v>
      </c>
      <c r="U108" s="8">
        <f t="shared" si="31"/>
        <v>11.416500000000001</v>
      </c>
      <c r="V108" s="129">
        <f t="shared" si="31"/>
        <v>24.785168400000003</v>
      </c>
      <c r="W108" s="62"/>
      <c r="X108" s="63"/>
      <c r="Y108" s="63"/>
      <c r="Z108" s="6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</row>
    <row r="109" spans="1:95" s="293" customFormat="1" ht="15.75">
      <c r="A109" s="259">
        <v>1</v>
      </c>
      <c r="B109" s="242" t="s">
        <v>327</v>
      </c>
      <c r="C109" s="243" t="s">
        <v>59</v>
      </c>
      <c r="D109" s="244" t="s">
        <v>169</v>
      </c>
      <c r="E109" s="243">
        <v>2014</v>
      </c>
      <c r="F109" s="244">
        <v>2014</v>
      </c>
      <c r="G109" s="257">
        <f>0.15*1.18</f>
        <v>0.177</v>
      </c>
      <c r="H109" s="247"/>
      <c r="I109" s="245"/>
      <c r="J109" s="277" t="str">
        <f>D109</f>
        <v>0,54 км</v>
      </c>
      <c r="K109" s="247"/>
      <c r="L109" s="247"/>
      <c r="M109" s="247"/>
      <c r="N109" s="247"/>
      <c r="O109" s="256" t="str">
        <f>J109</f>
        <v>0,54 км</v>
      </c>
      <c r="P109" s="344"/>
      <c r="Q109" s="257">
        <f>G109</f>
        <v>0.177</v>
      </c>
      <c r="R109" s="278"/>
      <c r="S109" s="278"/>
      <c r="T109" s="278"/>
      <c r="U109" s="278"/>
      <c r="V109" s="250">
        <f aca="true" t="shared" si="32" ref="V109:V115">SUM(P109:S109)</f>
        <v>0.177</v>
      </c>
      <c r="W109" s="251"/>
      <c r="X109" s="252"/>
      <c r="Y109" s="252"/>
      <c r="Z109" s="252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</row>
    <row r="110" spans="1:95" s="200" customFormat="1" ht="15.75">
      <c r="A110" s="241">
        <f aca="true" t="shared" si="33" ref="A110:A117">A109+1</f>
        <v>2</v>
      </c>
      <c r="B110" s="179" t="s">
        <v>327</v>
      </c>
      <c r="C110" s="188" t="s">
        <v>36</v>
      </c>
      <c r="D110" s="198" t="s">
        <v>169</v>
      </c>
      <c r="E110" s="188">
        <v>2015</v>
      </c>
      <c r="F110" s="198">
        <v>2015</v>
      </c>
      <c r="G110" s="349">
        <f>1.72538*1.18</f>
        <v>2.0359483999999997</v>
      </c>
      <c r="H110" s="191"/>
      <c r="I110" s="190"/>
      <c r="J110" s="299"/>
      <c r="K110" s="191" t="str">
        <f>D110</f>
        <v>0,54 км</v>
      </c>
      <c r="L110" s="191"/>
      <c r="M110" s="191"/>
      <c r="N110" s="191"/>
      <c r="O110" s="298" t="str">
        <f>D110</f>
        <v>0,54 км</v>
      </c>
      <c r="P110" s="301"/>
      <c r="Q110" s="188"/>
      <c r="R110" s="184">
        <f>G110</f>
        <v>2.0359483999999997</v>
      </c>
      <c r="S110" s="191"/>
      <c r="T110" s="191"/>
      <c r="U110" s="191"/>
      <c r="V110" s="194">
        <f t="shared" si="32"/>
        <v>2.0359483999999997</v>
      </c>
      <c r="W110" s="195"/>
      <c r="X110" s="199"/>
      <c r="Y110" s="185"/>
      <c r="Z110" s="185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</row>
    <row r="111" spans="1:95" s="293" customFormat="1" ht="53.25" customHeight="1">
      <c r="A111" s="241">
        <f t="shared" si="33"/>
        <v>3</v>
      </c>
      <c r="B111" s="242" t="s">
        <v>328</v>
      </c>
      <c r="C111" s="243" t="s">
        <v>59</v>
      </c>
      <c r="D111" s="244" t="s">
        <v>170</v>
      </c>
      <c r="E111" s="243">
        <v>2014</v>
      </c>
      <c r="F111" s="244">
        <v>2014</v>
      </c>
      <c r="G111" s="257">
        <f>0.1*1.18</f>
        <v>0.118</v>
      </c>
      <c r="H111" s="247"/>
      <c r="I111" s="245"/>
      <c r="J111" s="277" t="str">
        <f>D111</f>
        <v>2х0,3 км</v>
      </c>
      <c r="K111" s="247"/>
      <c r="L111" s="247"/>
      <c r="M111" s="247"/>
      <c r="N111" s="247"/>
      <c r="O111" s="256" t="str">
        <f>J111</f>
        <v>2х0,3 км</v>
      </c>
      <c r="P111" s="336"/>
      <c r="Q111" s="257">
        <f>G111</f>
        <v>0.118</v>
      </c>
      <c r="R111" s="247"/>
      <c r="S111" s="247"/>
      <c r="T111" s="247"/>
      <c r="U111" s="247"/>
      <c r="V111" s="250">
        <f t="shared" si="32"/>
        <v>0.118</v>
      </c>
      <c r="W111" s="251"/>
      <c r="X111" s="252"/>
      <c r="Y111" s="252"/>
      <c r="Z111" s="252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</row>
    <row r="112" spans="1:95" s="200" customFormat="1" ht="55.5" customHeight="1">
      <c r="A112" s="241">
        <f t="shared" si="33"/>
        <v>4</v>
      </c>
      <c r="B112" s="179" t="s">
        <v>328</v>
      </c>
      <c r="C112" s="188" t="s">
        <v>36</v>
      </c>
      <c r="D112" s="198" t="s">
        <v>170</v>
      </c>
      <c r="E112" s="188">
        <v>2015</v>
      </c>
      <c r="F112" s="198">
        <v>2015</v>
      </c>
      <c r="G112" s="349">
        <f>0.9675*1.18</f>
        <v>1.14165</v>
      </c>
      <c r="H112" s="191"/>
      <c r="I112" s="190"/>
      <c r="J112" s="299"/>
      <c r="K112" s="191" t="str">
        <f>D112</f>
        <v>2х0,3 км</v>
      </c>
      <c r="L112" s="191"/>
      <c r="M112" s="191"/>
      <c r="N112" s="191"/>
      <c r="O112" s="298" t="str">
        <f>D112</f>
        <v>2х0,3 км</v>
      </c>
      <c r="P112" s="301"/>
      <c r="Q112" s="188"/>
      <c r="R112" s="184">
        <f>G112</f>
        <v>1.14165</v>
      </c>
      <c r="S112" s="191"/>
      <c r="T112" s="191"/>
      <c r="U112" s="191"/>
      <c r="V112" s="194">
        <f t="shared" si="32"/>
        <v>1.14165</v>
      </c>
      <c r="W112" s="195"/>
      <c r="X112" s="199"/>
      <c r="Y112" s="185"/>
      <c r="Z112" s="185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</row>
    <row r="113" spans="1:95" s="293" customFormat="1" ht="31.5">
      <c r="A113" s="241">
        <f t="shared" si="33"/>
        <v>5</v>
      </c>
      <c r="B113" s="242" t="s">
        <v>207</v>
      </c>
      <c r="C113" s="243" t="s">
        <v>59</v>
      </c>
      <c r="D113" s="244" t="s">
        <v>171</v>
      </c>
      <c r="E113" s="243">
        <v>2014</v>
      </c>
      <c r="F113" s="244">
        <v>2014</v>
      </c>
      <c r="G113" s="257">
        <f>0.103*1.18</f>
        <v>0.12153999999999998</v>
      </c>
      <c r="H113" s="247"/>
      <c r="I113" s="245"/>
      <c r="J113" s="277" t="str">
        <f>D113</f>
        <v>1,0 км</v>
      </c>
      <c r="K113" s="247"/>
      <c r="L113" s="247"/>
      <c r="M113" s="247"/>
      <c r="N113" s="247"/>
      <c r="O113" s="256" t="str">
        <f>J113</f>
        <v>1,0 км</v>
      </c>
      <c r="P113" s="344"/>
      <c r="Q113" s="257">
        <f>G113</f>
        <v>0.12153999999999998</v>
      </c>
      <c r="R113" s="278"/>
      <c r="S113" s="278"/>
      <c r="T113" s="278"/>
      <c r="U113" s="278"/>
      <c r="V113" s="250">
        <f t="shared" si="32"/>
        <v>0.12153999999999998</v>
      </c>
      <c r="W113" s="251"/>
      <c r="X113" s="252"/>
      <c r="Y113" s="252"/>
      <c r="Z113" s="252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</row>
    <row r="114" spans="1:95" s="200" customFormat="1" ht="39.75" customHeight="1">
      <c r="A114" s="241">
        <f t="shared" si="33"/>
        <v>6</v>
      </c>
      <c r="B114" s="179" t="s">
        <v>207</v>
      </c>
      <c r="C114" s="188" t="s">
        <v>36</v>
      </c>
      <c r="D114" s="198" t="s">
        <v>171</v>
      </c>
      <c r="E114" s="188">
        <v>2015</v>
      </c>
      <c r="F114" s="198">
        <v>2015</v>
      </c>
      <c r="G114" s="349">
        <f>3.225*1.18</f>
        <v>3.8055</v>
      </c>
      <c r="H114" s="191"/>
      <c r="I114" s="190"/>
      <c r="J114" s="299"/>
      <c r="K114" s="191" t="str">
        <f>D114</f>
        <v>1,0 км</v>
      </c>
      <c r="L114" s="191"/>
      <c r="M114" s="191"/>
      <c r="N114" s="191"/>
      <c r="O114" s="298" t="str">
        <f>D114</f>
        <v>1,0 км</v>
      </c>
      <c r="P114" s="301"/>
      <c r="Q114" s="188"/>
      <c r="R114" s="184">
        <f>G114</f>
        <v>3.8055</v>
      </c>
      <c r="S114" s="191"/>
      <c r="T114" s="191"/>
      <c r="U114" s="191"/>
      <c r="V114" s="194">
        <f t="shared" si="32"/>
        <v>3.8055</v>
      </c>
      <c r="W114" s="195"/>
      <c r="X114" s="199"/>
      <c r="Y114" s="185"/>
      <c r="Z114" s="185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</row>
    <row r="115" spans="1:95" s="200" customFormat="1" ht="39.75" customHeight="1">
      <c r="A115" s="241">
        <f t="shared" si="33"/>
        <v>7</v>
      </c>
      <c r="B115" s="179" t="s">
        <v>209</v>
      </c>
      <c r="C115" s="188" t="s">
        <v>36</v>
      </c>
      <c r="D115" s="198" t="s">
        <v>45</v>
      </c>
      <c r="E115" s="188">
        <v>2015</v>
      </c>
      <c r="F115" s="198">
        <v>2015</v>
      </c>
      <c r="G115" s="349">
        <f>4.7085*1.18</f>
        <v>5.55603</v>
      </c>
      <c r="H115" s="191"/>
      <c r="I115" s="190"/>
      <c r="J115" s="299"/>
      <c r="K115" s="191" t="str">
        <f>D115</f>
        <v>1,46 км</v>
      </c>
      <c r="L115" s="191"/>
      <c r="M115" s="191"/>
      <c r="N115" s="191"/>
      <c r="O115" s="298" t="str">
        <f>D115</f>
        <v>1,46 км</v>
      </c>
      <c r="P115" s="301"/>
      <c r="Q115" s="188"/>
      <c r="R115" s="184">
        <f>G115</f>
        <v>5.55603</v>
      </c>
      <c r="S115" s="191"/>
      <c r="T115" s="191"/>
      <c r="U115" s="191"/>
      <c r="V115" s="194">
        <f t="shared" si="32"/>
        <v>5.55603</v>
      </c>
      <c r="W115" s="195"/>
      <c r="X115" s="199"/>
      <c r="Y115" s="185"/>
      <c r="Z115" s="185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</row>
    <row r="116" spans="1:95" s="224" customFormat="1" ht="15.75">
      <c r="A116" s="241">
        <f t="shared" si="33"/>
        <v>8</v>
      </c>
      <c r="B116" s="211" t="s">
        <v>296</v>
      </c>
      <c r="C116" s="215" t="s">
        <v>59</v>
      </c>
      <c r="D116" s="216" t="s">
        <v>219</v>
      </c>
      <c r="E116" s="215">
        <v>2017</v>
      </c>
      <c r="F116" s="214">
        <v>2017</v>
      </c>
      <c r="G116" s="375">
        <f>0.35*1.18</f>
        <v>0.413</v>
      </c>
      <c r="H116" s="218"/>
      <c r="I116" s="217"/>
      <c r="J116" s="361"/>
      <c r="K116" s="219"/>
      <c r="L116" s="220"/>
      <c r="M116" s="221" t="str">
        <f>D116</f>
        <v>3 км</v>
      </c>
      <c r="N116" s="221"/>
      <c r="O116" s="222" t="str">
        <f>M116</f>
        <v>3 км</v>
      </c>
      <c r="P116" s="335"/>
      <c r="Q116" s="223"/>
      <c r="R116" s="221"/>
      <c r="S116" s="225"/>
      <c r="T116" s="212">
        <f>G116</f>
        <v>0.413</v>
      </c>
      <c r="U116" s="212"/>
      <c r="V116" s="307">
        <f>T116</f>
        <v>0.413</v>
      </c>
      <c r="W116" s="213"/>
      <c r="X116" s="72"/>
      <c r="Y116" s="72"/>
      <c r="Z116" s="72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</row>
    <row r="117" spans="1:95" s="236" customFormat="1" ht="15.75">
      <c r="A117" s="241">
        <f t="shared" si="33"/>
        <v>9</v>
      </c>
      <c r="B117" s="205" t="s">
        <v>296</v>
      </c>
      <c r="C117" s="226" t="s">
        <v>36</v>
      </c>
      <c r="D117" s="227" t="s">
        <v>307</v>
      </c>
      <c r="E117" s="226">
        <v>2018</v>
      </c>
      <c r="F117" s="310">
        <v>2018</v>
      </c>
      <c r="G117" s="376">
        <f>9.675*1.18</f>
        <v>11.416500000000001</v>
      </c>
      <c r="H117" s="229"/>
      <c r="I117" s="228"/>
      <c r="J117" s="363"/>
      <c r="K117" s="230"/>
      <c r="L117" s="231"/>
      <c r="M117" s="232"/>
      <c r="N117" s="232" t="str">
        <f>D117</f>
        <v>3  км</v>
      </c>
      <c r="O117" s="233" t="str">
        <f>D117</f>
        <v>3  км</v>
      </c>
      <c r="P117" s="337"/>
      <c r="Q117" s="234"/>
      <c r="R117" s="232"/>
      <c r="S117" s="235"/>
      <c r="T117" s="206"/>
      <c r="U117" s="206">
        <f>G117</f>
        <v>11.416500000000001</v>
      </c>
      <c r="V117" s="308">
        <f>SUM(Q117:U117)</f>
        <v>11.416500000000001</v>
      </c>
      <c r="W117" s="207"/>
      <c r="X117" s="208"/>
      <c r="Y117" s="208"/>
      <c r="Z117" s="208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</row>
    <row r="118" spans="1:95" s="21" customFormat="1" ht="21" customHeight="1">
      <c r="A118" s="36" t="s">
        <v>150</v>
      </c>
      <c r="B118" s="96" t="s">
        <v>69</v>
      </c>
      <c r="C118" s="43"/>
      <c r="D118" s="41"/>
      <c r="E118" s="43"/>
      <c r="F118" s="41"/>
      <c r="G118" s="135">
        <f>SUM(G119:G122)</f>
        <v>20.5358468</v>
      </c>
      <c r="H118" s="8"/>
      <c r="I118" s="4"/>
      <c r="J118" s="362"/>
      <c r="K118" s="3"/>
      <c r="L118" s="3"/>
      <c r="M118" s="3"/>
      <c r="N118" s="3"/>
      <c r="O118" s="154"/>
      <c r="P118" s="345"/>
      <c r="Q118" s="135">
        <f aca="true" t="shared" si="34" ref="Q118:V118">SUM(Q119:Q122)</f>
        <v>1.8044441999999998</v>
      </c>
      <c r="R118" s="8">
        <f t="shared" si="34"/>
        <v>9.499</v>
      </c>
      <c r="S118" s="8">
        <f t="shared" si="34"/>
        <v>9.232402599999999</v>
      </c>
      <c r="T118" s="8">
        <f t="shared" si="34"/>
        <v>0</v>
      </c>
      <c r="U118" s="8">
        <f t="shared" si="34"/>
        <v>0</v>
      </c>
      <c r="V118" s="129">
        <f t="shared" si="34"/>
        <v>20.5358468</v>
      </c>
      <c r="W118" s="62"/>
      <c r="X118" s="73"/>
      <c r="Y118" s="73"/>
      <c r="Z118" s="73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</row>
    <row r="119" spans="1:95" s="293" customFormat="1" ht="47.25">
      <c r="A119" s="241">
        <v>1</v>
      </c>
      <c r="B119" s="264" t="s">
        <v>206</v>
      </c>
      <c r="C119" s="243" t="s">
        <v>36</v>
      </c>
      <c r="D119" s="289" t="s">
        <v>121</v>
      </c>
      <c r="E119" s="243">
        <v>2014</v>
      </c>
      <c r="F119" s="244">
        <v>2014</v>
      </c>
      <c r="G119" s="378">
        <f>1.27919*1.18</f>
        <v>1.5094442</v>
      </c>
      <c r="H119" s="249"/>
      <c r="I119" s="245"/>
      <c r="J119" s="277" t="str">
        <f>D119</f>
        <v>2х0,25 км</v>
      </c>
      <c r="K119" s="247"/>
      <c r="L119" s="247"/>
      <c r="M119" s="247"/>
      <c r="N119" s="247"/>
      <c r="O119" s="256" t="str">
        <f>J119</f>
        <v>2х0,25 км</v>
      </c>
      <c r="P119" s="338"/>
      <c r="Q119" s="257">
        <f>G119</f>
        <v>1.5094442</v>
      </c>
      <c r="R119" s="249"/>
      <c r="S119" s="247"/>
      <c r="T119" s="247"/>
      <c r="U119" s="247"/>
      <c r="V119" s="250">
        <f>SUM(P119:S119)</f>
        <v>1.5094442</v>
      </c>
      <c r="W119" s="290"/>
      <c r="X119" s="291"/>
      <c r="Y119" s="291"/>
      <c r="Z119" s="291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</row>
    <row r="120" spans="1:95" s="293" customFormat="1" ht="31.5">
      <c r="A120" s="241">
        <f>A119+1</f>
        <v>2</v>
      </c>
      <c r="B120" s="264" t="s">
        <v>315</v>
      </c>
      <c r="C120" s="243" t="s">
        <v>59</v>
      </c>
      <c r="D120" s="289" t="s">
        <v>135</v>
      </c>
      <c r="E120" s="243">
        <v>2014</v>
      </c>
      <c r="F120" s="244">
        <v>2014</v>
      </c>
      <c r="G120" s="378">
        <f>0.25*1.18</f>
        <v>0.295</v>
      </c>
      <c r="H120" s="249"/>
      <c r="I120" s="245"/>
      <c r="J120" s="277" t="str">
        <f>D120</f>
        <v>2х2,4 км</v>
      </c>
      <c r="K120" s="247"/>
      <c r="L120" s="247"/>
      <c r="M120" s="247"/>
      <c r="N120" s="247"/>
      <c r="O120" s="256" t="str">
        <f>J120</f>
        <v>2х2,4 км</v>
      </c>
      <c r="P120" s="338"/>
      <c r="Q120" s="257">
        <f>G120</f>
        <v>0.295</v>
      </c>
      <c r="R120" s="249"/>
      <c r="S120" s="247"/>
      <c r="T120" s="247"/>
      <c r="U120" s="247"/>
      <c r="V120" s="250">
        <f>SUM(P120:S120)</f>
        <v>0.295</v>
      </c>
      <c r="W120" s="290"/>
      <c r="X120" s="291"/>
      <c r="Y120" s="291"/>
      <c r="Z120" s="291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</row>
    <row r="121" spans="1:95" s="200" customFormat="1" ht="39.75" customHeight="1">
      <c r="A121" s="241">
        <f>A120+1</f>
        <v>3</v>
      </c>
      <c r="B121" s="179" t="s">
        <v>178</v>
      </c>
      <c r="C121" s="188" t="s">
        <v>36</v>
      </c>
      <c r="D121" s="198" t="s">
        <v>135</v>
      </c>
      <c r="E121" s="188">
        <v>2015</v>
      </c>
      <c r="F121" s="198">
        <v>2015</v>
      </c>
      <c r="G121" s="349">
        <f>8.05*1.18</f>
        <v>9.499</v>
      </c>
      <c r="H121" s="191"/>
      <c r="I121" s="190"/>
      <c r="J121" s="299"/>
      <c r="K121" s="191" t="str">
        <f>D121</f>
        <v>2х2,4 км</v>
      </c>
      <c r="L121" s="191"/>
      <c r="M121" s="191"/>
      <c r="N121" s="191"/>
      <c r="O121" s="298" t="str">
        <f>D121</f>
        <v>2х2,4 км</v>
      </c>
      <c r="P121" s="301"/>
      <c r="Q121" s="188"/>
      <c r="R121" s="184">
        <f>G121</f>
        <v>9.499</v>
      </c>
      <c r="S121" s="191"/>
      <c r="T121" s="191"/>
      <c r="U121" s="191"/>
      <c r="V121" s="194">
        <f>SUM(P121:S121)</f>
        <v>9.499</v>
      </c>
      <c r="W121" s="195"/>
      <c r="X121" s="199"/>
      <c r="Y121" s="185"/>
      <c r="Z121" s="185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</row>
    <row r="122" spans="1:95" s="2" customFormat="1" ht="15.75">
      <c r="A122" s="241">
        <f>A121+1</f>
        <v>4</v>
      </c>
      <c r="B122" s="90" t="s">
        <v>220</v>
      </c>
      <c r="C122" s="120" t="s">
        <v>36</v>
      </c>
      <c r="D122" s="237" t="s">
        <v>279</v>
      </c>
      <c r="E122" s="120">
        <v>2016</v>
      </c>
      <c r="F122" s="106">
        <v>2016</v>
      </c>
      <c r="G122" s="136">
        <f>7.82407*1.18</f>
        <v>9.232402599999999</v>
      </c>
      <c r="H122" s="16"/>
      <c r="I122" s="35"/>
      <c r="J122" s="85"/>
      <c r="K122" s="16"/>
      <c r="L122" s="26" t="s">
        <v>53</v>
      </c>
      <c r="M122" s="26"/>
      <c r="N122" s="26"/>
      <c r="O122" s="162" t="s">
        <v>53</v>
      </c>
      <c r="P122" s="339"/>
      <c r="Q122" s="136"/>
      <c r="R122" s="16"/>
      <c r="S122" s="17">
        <f>G122</f>
        <v>9.232402599999999</v>
      </c>
      <c r="T122" s="16"/>
      <c r="U122" s="16"/>
      <c r="V122" s="131">
        <f>SUM(P122:T122)</f>
        <v>9.232402599999999</v>
      </c>
      <c r="W122" s="62"/>
      <c r="X122" s="63"/>
      <c r="Y122" s="63"/>
      <c r="Z122" s="6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</row>
    <row r="123" spans="1:95" s="22" customFormat="1" ht="15.75">
      <c r="A123" s="79" t="s">
        <v>81</v>
      </c>
      <c r="B123" s="93" t="s">
        <v>40</v>
      </c>
      <c r="C123" s="123"/>
      <c r="D123" s="107"/>
      <c r="E123" s="123"/>
      <c r="F123" s="107"/>
      <c r="G123" s="133">
        <f>G124+G148</f>
        <v>20.7941016</v>
      </c>
      <c r="H123" s="12"/>
      <c r="I123" s="124"/>
      <c r="J123" s="364"/>
      <c r="K123" s="12"/>
      <c r="L123" s="12"/>
      <c r="M123" s="12"/>
      <c r="N123" s="12"/>
      <c r="O123" s="314"/>
      <c r="P123" s="333">
        <f aca="true" t="shared" si="35" ref="P123:U123">P124</f>
        <v>0</v>
      </c>
      <c r="Q123" s="133">
        <f>Q124+Q148</f>
        <v>5.807606000000001</v>
      </c>
      <c r="R123" s="14">
        <f t="shared" si="35"/>
        <v>2.6695493999999997</v>
      </c>
      <c r="S123" s="14">
        <f>S124+S148</f>
        <v>9.1928962</v>
      </c>
      <c r="T123" s="14">
        <f t="shared" si="35"/>
        <v>0.30462880000000003</v>
      </c>
      <c r="U123" s="14">
        <f t="shared" si="35"/>
        <v>2.8194212</v>
      </c>
      <c r="V123" s="134">
        <f>V124+V148</f>
        <v>20.7941016</v>
      </c>
      <c r="W123" s="62"/>
      <c r="X123" s="74"/>
      <c r="Y123" s="73"/>
      <c r="Z123" s="73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</row>
    <row r="124" spans="1:95" s="20" customFormat="1" ht="15.75">
      <c r="A124" s="36" t="s">
        <v>82</v>
      </c>
      <c r="B124" s="89" t="s">
        <v>35</v>
      </c>
      <c r="C124" s="120"/>
      <c r="D124" s="106"/>
      <c r="E124" s="120"/>
      <c r="F124" s="106"/>
      <c r="G124" s="135">
        <f>SUM(G125:G147)</f>
        <v>19.1979982</v>
      </c>
      <c r="H124" s="16"/>
      <c r="I124" s="35"/>
      <c r="J124" s="85"/>
      <c r="K124" s="16"/>
      <c r="L124" s="16"/>
      <c r="M124" s="16"/>
      <c r="N124" s="16"/>
      <c r="O124" s="162"/>
      <c r="P124" s="161">
        <f>SUM(P128:P140)</f>
        <v>0</v>
      </c>
      <c r="Q124" s="135">
        <f aca="true" t="shared" si="36" ref="Q124:V124">SUM(Q125:Q147)</f>
        <v>4.211502600000001</v>
      </c>
      <c r="R124" s="8">
        <f t="shared" si="36"/>
        <v>2.6695493999999997</v>
      </c>
      <c r="S124" s="8">
        <f t="shared" si="36"/>
        <v>9.1928962</v>
      </c>
      <c r="T124" s="8">
        <f t="shared" si="36"/>
        <v>0.30462880000000003</v>
      </c>
      <c r="U124" s="8">
        <f t="shared" si="36"/>
        <v>2.8194212</v>
      </c>
      <c r="V124" s="129">
        <f t="shared" si="36"/>
        <v>19.1979982</v>
      </c>
      <c r="W124" s="62"/>
      <c r="X124" s="63"/>
      <c r="Y124" s="63"/>
      <c r="Z124" s="6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</row>
    <row r="125" spans="1:95" s="254" customFormat="1" ht="15.75">
      <c r="A125" s="259">
        <v>1</v>
      </c>
      <c r="B125" s="242" t="s">
        <v>84</v>
      </c>
      <c r="C125" s="243" t="s">
        <v>36</v>
      </c>
      <c r="D125" s="244" t="s">
        <v>163</v>
      </c>
      <c r="E125" s="243">
        <v>2014</v>
      </c>
      <c r="F125" s="244">
        <v>2014</v>
      </c>
      <c r="G125" s="257">
        <f>2.54846*1.18</f>
        <v>3.0071828</v>
      </c>
      <c r="H125" s="247"/>
      <c r="I125" s="245"/>
      <c r="J125" s="277" t="str">
        <f>D125</f>
        <v>1,53 км</v>
      </c>
      <c r="K125" s="247"/>
      <c r="L125" s="247"/>
      <c r="M125" s="247"/>
      <c r="N125" s="247"/>
      <c r="O125" s="256" t="s">
        <v>85</v>
      </c>
      <c r="P125" s="342"/>
      <c r="Q125" s="350">
        <f>G125</f>
        <v>3.0071828</v>
      </c>
      <c r="R125" s="247"/>
      <c r="S125" s="247"/>
      <c r="T125" s="247"/>
      <c r="U125" s="247"/>
      <c r="V125" s="250">
        <f>SUM(P125:S125)</f>
        <v>3.0071828</v>
      </c>
      <c r="W125" s="251"/>
      <c r="X125" s="252"/>
      <c r="Y125" s="252"/>
      <c r="Z125" s="252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</row>
    <row r="126" spans="1:95" s="254" customFormat="1" ht="15.75">
      <c r="A126" s="241">
        <f aca="true" t="shared" si="37" ref="A126:A147">A125+1</f>
        <v>2</v>
      </c>
      <c r="B126" s="242" t="s">
        <v>329</v>
      </c>
      <c r="C126" s="243" t="s">
        <v>36</v>
      </c>
      <c r="D126" s="244" t="s">
        <v>120</v>
      </c>
      <c r="E126" s="243">
        <v>2014</v>
      </c>
      <c r="F126" s="244">
        <v>2014</v>
      </c>
      <c r="G126" s="257">
        <f>0.36332*1.18</f>
        <v>0.4287176</v>
      </c>
      <c r="H126" s="247"/>
      <c r="I126" s="245"/>
      <c r="J126" s="277" t="str">
        <f>D126</f>
        <v>1,208 км</v>
      </c>
      <c r="K126" s="247"/>
      <c r="L126" s="247"/>
      <c r="M126" s="247"/>
      <c r="N126" s="247"/>
      <c r="O126" s="256" t="s">
        <v>85</v>
      </c>
      <c r="P126" s="342"/>
      <c r="Q126" s="350">
        <f>G126</f>
        <v>0.4287176</v>
      </c>
      <c r="R126" s="247"/>
      <c r="S126" s="247"/>
      <c r="T126" s="247"/>
      <c r="U126" s="247"/>
      <c r="V126" s="250">
        <f>SUM(P126:S126)</f>
        <v>0.4287176</v>
      </c>
      <c r="W126" s="251"/>
      <c r="X126" s="252"/>
      <c r="Y126" s="252"/>
      <c r="Z126" s="252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</row>
    <row r="127" spans="1:95" s="254" customFormat="1" ht="15.75">
      <c r="A127" s="241">
        <f t="shared" si="37"/>
        <v>3</v>
      </c>
      <c r="B127" s="242" t="s">
        <v>330</v>
      </c>
      <c r="C127" s="243" t="s">
        <v>36</v>
      </c>
      <c r="D127" s="244" t="s">
        <v>202</v>
      </c>
      <c r="E127" s="243">
        <v>2014</v>
      </c>
      <c r="F127" s="244">
        <v>2014</v>
      </c>
      <c r="G127" s="257">
        <f>0.52229*1.18</f>
        <v>0.6163022</v>
      </c>
      <c r="H127" s="247"/>
      <c r="I127" s="245"/>
      <c r="J127" s="277" t="str">
        <f>D127</f>
        <v>2,18 км</v>
      </c>
      <c r="K127" s="247"/>
      <c r="L127" s="247"/>
      <c r="M127" s="247"/>
      <c r="N127" s="247"/>
      <c r="O127" s="256" t="s">
        <v>85</v>
      </c>
      <c r="P127" s="342"/>
      <c r="Q127" s="350">
        <f>G127</f>
        <v>0.6163022</v>
      </c>
      <c r="R127" s="247"/>
      <c r="S127" s="247"/>
      <c r="T127" s="247"/>
      <c r="U127" s="247"/>
      <c r="V127" s="250">
        <f>SUM(P127:S127)</f>
        <v>0.6163022</v>
      </c>
      <c r="W127" s="251"/>
      <c r="X127" s="252"/>
      <c r="Y127" s="252"/>
      <c r="Z127" s="252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</row>
    <row r="128" spans="1:95" s="196" customFormat="1" ht="15.75">
      <c r="A128" s="241">
        <f t="shared" si="37"/>
        <v>4</v>
      </c>
      <c r="B128" s="201" t="s">
        <v>86</v>
      </c>
      <c r="C128" s="188" t="s">
        <v>59</v>
      </c>
      <c r="D128" s="189" t="s">
        <v>83</v>
      </c>
      <c r="E128" s="188">
        <v>2015</v>
      </c>
      <c r="F128" s="198">
        <v>2015</v>
      </c>
      <c r="G128" s="349">
        <f>0.112*1.18</f>
        <v>0.13216</v>
      </c>
      <c r="H128" s="191"/>
      <c r="I128" s="190"/>
      <c r="J128" s="299"/>
      <c r="K128" s="192" t="str">
        <f>D128</f>
        <v>1,1 км</v>
      </c>
      <c r="L128" s="192"/>
      <c r="M128" s="192"/>
      <c r="N128" s="192"/>
      <c r="O128" s="298" t="str">
        <f>D128</f>
        <v>1,1 км</v>
      </c>
      <c r="P128" s="301"/>
      <c r="Q128" s="349"/>
      <c r="R128" s="184">
        <f>G128</f>
        <v>0.13216</v>
      </c>
      <c r="S128" s="191"/>
      <c r="T128" s="191"/>
      <c r="U128" s="191"/>
      <c r="V128" s="194">
        <f aca="true" t="shared" si="38" ref="V128:V139">SUM(P128:S128)</f>
        <v>0.13216</v>
      </c>
      <c r="W128" s="195"/>
      <c r="X128" s="185"/>
      <c r="Y128" s="185"/>
      <c r="Z128" s="185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</row>
    <row r="129" spans="1:95" s="163" customFormat="1" ht="15.75">
      <c r="A129" s="241">
        <f t="shared" si="37"/>
        <v>5</v>
      </c>
      <c r="B129" s="238" t="s">
        <v>86</v>
      </c>
      <c r="C129" s="121" t="s">
        <v>36</v>
      </c>
      <c r="D129" s="296" t="s">
        <v>83</v>
      </c>
      <c r="E129" s="121">
        <v>2016</v>
      </c>
      <c r="F129" s="58">
        <v>2016</v>
      </c>
      <c r="G129" s="352">
        <f>1.95967*1.18</f>
        <v>2.3124105999999998</v>
      </c>
      <c r="H129" s="49"/>
      <c r="I129" s="122"/>
      <c r="J129" s="86"/>
      <c r="K129" s="60"/>
      <c r="L129" s="50" t="str">
        <f>D129</f>
        <v>1,1 км</v>
      </c>
      <c r="M129" s="59"/>
      <c r="N129" s="59"/>
      <c r="O129" s="297" t="str">
        <f>D129</f>
        <v>1,1 км</v>
      </c>
      <c r="P129" s="302"/>
      <c r="Q129" s="137"/>
      <c r="R129" s="59"/>
      <c r="S129" s="150">
        <f>G129</f>
        <v>2.3124105999999998</v>
      </c>
      <c r="T129" s="17"/>
      <c r="U129" s="17"/>
      <c r="V129" s="131">
        <f>SUM(P129:T129)</f>
        <v>2.3124105999999998</v>
      </c>
      <c r="W129" s="62"/>
      <c r="X129" s="63"/>
      <c r="Y129" s="63"/>
      <c r="Z129" s="6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</row>
    <row r="130" spans="1:95" s="254" customFormat="1" ht="15.75">
      <c r="A130" s="241">
        <f t="shared" si="37"/>
        <v>6</v>
      </c>
      <c r="B130" s="271" t="s">
        <v>317</v>
      </c>
      <c r="C130" s="243" t="s">
        <v>59</v>
      </c>
      <c r="D130" s="272" t="s">
        <v>87</v>
      </c>
      <c r="E130" s="243">
        <v>2014</v>
      </c>
      <c r="F130" s="244">
        <v>2014</v>
      </c>
      <c r="G130" s="257">
        <f>0.03*1.18</f>
        <v>0.035399999999999994</v>
      </c>
      <c r="H130" s="247"/>
      <c r="I130" s="245"/>
      <c r="J130" s="367" t="s">
        <v>87</v>
      </c>
      <c r="K130" s="273"/>
      <c r="L130" s="247"/>
      <c r="M130" s="247"/>
      <c r="N130" s="247"/>
      <c r="O130" s="256" t="s">
        <v>87</v>
      </c>
      <c r="P130" s="342"/>
      <c r="Q130" s="257">
        <f>G130</f>
        <v>0.035399999999999994</v>
      </c>
      <c r="R130" s="249"/>
      <c r="S130" s="247"/>
      <c r="T130" s="247"/>
      <c r="U130" s="247"/>
      <c r="V130" s="250">
        <f t="shared" si="38"/>
        <v>0.035399999999999994</v>
      </c>
      <c r="W130" s="251"/>
      <c r="X130" s="252"/>
      <c r="Y130" s="252"/>
      <c r="Z130" s="252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</row>
    <row r="131" spans="1:95" s="196" customFormat="1" ht="15.75">
      <c r="A131" s="241">
        <f t="shared" si="37"/>
        <v>7</v>
      </c>
      <c r="B131" s="201" t="s">
        <v>189</v>
      </c>
      <c r="C131" s="188" t="s">
        <v>36</v>
      </c>
      <c r="D131" s="189" t="s">
        <v>87</v>
      </c>
      <c r="E131" s="188">
        <v>2015</v>
      </c>
      <c r="F131" s="198">
        <v>2015</v>
      </c>
      <c r="G131" s="349">
        <f>0.33849*1.18</f>
        <v>0.3994182</v>
      </c>
      <c r="H131" s="191"/>
      <c r="I131" s="190"/>
      <c r="J131" s="299"/>
      <c r="K131" s="192" t="str">
        <f>D131</f>
        <v>0,19 км</v>
      </c>
      <c r="L131" s="192"/>
      <c r="M131" s="192"/>
      <c r="N131" s="192"/>
      <c r="O131" s="298" t="str">
        <f>D131</f>
        <v>0,19 км</v>
      </c>
      <c r="P131" s="301"/>
      <c r="Q131" s="349"/>
      <c r="R131" s="184">
        <f>G131</f>
        <v>0.3994182</v>
      </c>
      <c r="S131" s="191"/>
      <c r="T131" s="191"/>
      <c r="U131" s="191"/>
      <c r="V131" s="194">
        <f t="shared" si="38"/>
        <v>0.3994182</v>
      </c>
      <c r="W131" s="195"/>
      <c r="X131" s="185"/>
      <c r="Y131" s="185"/>
      <c r="Z131" s="185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</row>
    <row r="132" spans="1:95" s="196" customFormat="1" ht="15.75">
      <c r="A132" s="241">
        <f t="shared" si="37"/>
        <v>8</v>
      </c>
      <c r="B132" s="201" t="s">
        <v>190</v>
      </c>
      <c r="C132" s="188" t="s">
        <v>59</v>
      </c>
      <c r="D132" s="189" t="s">
        <v>88</v>
      </c>
      <c r="E132" s="188">
        <v>2015</v>
      </c>
      <c r="F132" s="198">
        <v>2015</v>
      </c>
      <c r="G132" s="349">
        <f>0.06*1.18</f>
        <v>0.07079999999999999</v>
      </c>
      <c r="H132" s="191"/>
      <c r="I132" s="190"/>
      <c r="J132" s="299"/>
      <c r="K132" s="192" t="str">
        <f>D132</f>
        <v>0,595 км</v>
      </c>
      <c r="L132" s="192"/>
      <c r="M132" s="192"/>
      <c r="N132" s="192"/>
      <c r="O132" s="298" t="str">
        <f>D132</f>
        <v>0,595 км</v>
      </c>
      <c r="P132" s="301"/>
      <c r="Q132" s="349"/>
      <c r="R132" s="184">
        <f>G132</f>
        <v>0.07079999999999999</v>
      </c>
      <c r="S132" s="191"/>
      <c r="T132" s="191"/>
      <c r="U132" s="191"/>
      <c r="V132" s="194">
        <f t="shared" si="38"/>
        <v>0.07079999999999999</v>
      </c>
      <c r="W132" s="195"/>
      <c r="X132" s="185"/>
      <c r="Y132" s="185"/>
      <c r="Z132" s="185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</row>
    <row r="133" spans="1:95" s="163" customFormat="1" ht="15.75">
      <c r="A133" s="241">
        <f t="shared" si="37"/>
        <v>9</v>
      </c>
      <c r="B133" s="238" t="s">
        <v>190</v>
      </c>
      <c r="C133" s="121" t="s">
        <v>36</v>
      </c>
      <c r="D133" s="296" t="s">
        <v>88</v>
      </c>
      <c r="E133" s="121">
        <v>2016</v>
      </c>
      <c r="F133" s="58">
        <v>2016</v>
      </c>
      <c r="G133" s="352">
        <f>1.06*1.18</f>
        <v>1.2508</v>
      </c>
      <c r="H133" s="49"/>
      <c r="I133" s="122"/>
      <c r="J133" s="86"/>
      <c r="K133" s="60"/>
      <c r="L133" s="50" t="str">
        <f>D133</f>
        <v>0,595 км</v>
      </c>
      <c r="M133" s="59"/>
      <c r="N133" s="59"/>
      <c r="O133" s="297" t="s">
        <v>129</v>
      </c>
      <c r="P133" s="302"/>
      <c r="Q133" s="137"/>
      <c r="R133" s="59"/>
      <c r="S133" s="150">
        <f>G133</f>
        <v>1.2508</v>
      </c>
      <c r="T133" s="17"/>
      <c r="U133" s="17"/>
      <c r="V133" s="131">
        <f>SUM(P133:T133)</f>
        <v>1.2508</v>
      </c>
      <c r="W133" s="62"/>
      <c r="X133" s="63"/>
      <c r="Y133" s="63"/>
      <c r="Z133" s="6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</row>
    <row r="134" spans="1:95" s="196" customFormat="1" ht="15.75">
      <c r="A134" s="241">
        <f t="shared" si="37"/>
        <v>10</v>
      </c>
      <c r="B134" s="201" t="s">
        <v>191</v>
      </c>
      <c r="C134" s="188" t="s">
        <v>59</v>
      </c>
      <c r="D134" s="189" t="s">
        <v>89</v>
      </c>
      <c r="E134" s="188">
        <v>2015</v>
      </c>
      <c r="F134" s="198">
        <v>2015</v>
      </c>
      <c r="G134" s="349">
        <f>0.119*1.18</f>
        <v>0.14042</v>
      </c>
      <c r="H134" s="191"/>
      <c r="I134" s="190"/>
      <c r="J134" s="299"/>
      <c r="K134" s="192" t="str">
        <f>D134</f>
        <v>1,168 км</v>
      </c>
      <c r="L134" s="192"/>
      <c r="M134" s="192"/>
      <c r="N134" s="192"/>
      <c r="O134" s="298" t="str">
        <f>D134</f>
        <v>1,168 км</v>
      </c>
      <c r="P134" s="301"/>
      <c r="Q134" s="349"/>
      <c r="R134" s="184">
        <f>G134</f>
        <v>0.14042</v>
      </c>
      <c r="S134" s="191"/>
      <c r="T134" s="191"/>
      <c r="U134" s="191"/>
      <c r="V134" s="194">
        <f t="shared" si="38"/>
        <v>0.14042</v>
      </c>
      <c r="W134" s="195"/>
      <c r="X134" s="185"/>
      <c r="Y134" s="185"/>
      <c r="Z134" s="185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</row>
    <row r="135" spans="1:95" s="163" customFormat="1" ht="15.75">
      <c r="A135" s="241">
        <f t="shared" si="37"/>
        <v>11</v>
      </c>
      <c r="B135" s="238" t="s">
        <v>191</v>
      </c>
      <c r="C135" s="121" t="s">
        <v>36</v>
      </c>
      <c r="D135" s="296" t="s">
        <v>89</v>
      </c>
      <c r="E135" s="121">
        <v>2016</v>
      </c>
      <c r="F135" s="58">
        <v>2016</v>
      </c>
      <c r="G135" s="352">
        <f>2.08082*1.18</f>
        <v>2.4553676</v>
      </c>
      <c r="H135" s="49"/>
      <c r="I135" s="122"/>
      <c r="J135" s="86"/>
      <c r="K135" s="60"/>
      <c r="L135" s="50" t="str">
        <f>D135</f>
        <v>1,168 км</v>
      </c>
      <c r="M135" s="59"/>
      <c r="N135" s="59"/>
      <c r="O135" s="297" t="str">
        <f>D135</f>
        <v>1,168 км</v>
      </c>
      <c r="P135" s="302"/>
      <c r="Q135" s="137"/>
      <c r="R135" s="59"/>
      <c r="S135" s="150">
        <f>G135</f>
        <v>2.4553676</v>
      </c>
      <c r="T135" s="17"/>
      <c r="U135" s="17"/>
      <c r="V135" s="131">
        <f>SUM(P135:T135)</f>
        <v>2.4553676</v>
      </c>
      <c r="W135" s="62"/>
      <c r="X135" s="63"/>
      <c r="Y135" s="63"/>
      <c r="Z135" s="6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</row>
    <row r="136" spans="1:95" s="196" customFormat="1" ht="15.75">
      <c r="A136" s="241">
        <f t="shared" si="37"/>
        <v>12</v>
      </c>
      <c r="B136" s="201" t="s">
        <v>90</v>
      </c>
      <c r="C136" s="188" t="s">
        <v>59</v>
      </c>
      <c r="D136" s="189" t="s">
        <v>91</v>
      </c>
      <c r="E136" s="188">
        <v>2015</v>
      </c>
      <c r="F136" s="198">
        <v>2015</v>
      </c>
      <c r="G136" s="349">
        <f>0.153*1.18</f>
        <v>0.18053999999999998</v>
      </c>
      <c r="H136" s="191"/>
      <c r="I136" s="190"/>
      <c r="J136" s="299"/>
      <c r="K136" s="192" t="str">
        <f>D136</f>
        <v>1,51 км</v>
      </c>
      <c r="L136" s="192"/>
      <c r="M136" s="192"/>
      <c r="N136" s="192"/>
      <c r="O136" s="298" t="str">
        <f>D136</f>
        <v>1,51 км</v>
      </c>
      <c r="P136" s="301"/>
      <c r="Q136" s="349"/>
      <c r="R136" s="184">
        <f>G136</f>
        <v>0.18053999999999998</v>
      </c>
      <c r="S136" s="191"/>
      <c r="T136" s="191"/>
      <c r="U136" s="191"/>
      <c r="V136" s="194">
        <f t="shared" si="38"/>
        <v>0.18053999999999998</v>
      </c>
      <c r="W136" s="195"/>
      <c r="X136" s="185"/>
      <c r="Y136" s="185"/>
      <c r="Z136" s="185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</row>
    <row r="137" spans="1:95" s="163" customFormat="1" ht="15.75">
      <c r="A137" s="241">
        <f t="shared" si="37"/>
        <v>13</v>
      </c>
      <c r="B137" s="238" t="s">
        <v>90</v>
      </c>
      <c r="C137" s="121" t="s">
        <v>36</v>
      </c>
      <c r="D137" s="296" t="s">
        <v>91</v>
      </c>
      <c r="E137" s="121">
        <v>2016</v>
      </c>
      <c r="F137" s="58">
        <v>2016</v>
      </c>
      <c r="G137" s="352">
        <f>2.6901*1.18</f>
        <v>3.174318</v>
      </c>
      <c r="H137" s="49"/>
      <c r="I137" s="122"/>
      <c r="J137" s="86"/>
      <c r="K137" s="60"/>
      <c r="L137" s="50" t="str">
        <f>D137</f>
        <v>1,51 км</v>
      </c>
      <c r="M137" s="59"/>
      <c r="N137" s="59"/>
      <c r="O137" s="297" t="str">
        <f>D137</f>
        <v>1,51 км</v>
      </c>
      <c r="P137" s="302"/>
      <c r="Q137" s="137"/>
      <c r="R137" s="59"/>
      <c r="S137" s="150">
        <f>G137</f>
        <v>3.174318</v>
      </c>
      <c r="T137" s="17"/>
      <c r="U137" s="17"/>
      <c r="V137" s="131">
        <f>SUM(P137:T137)</f>
        <v>3.174318</v>
      </c>
      <c r="W137" s="62"/>
      <c r="X137" s="63"/>
      <c r="Y137" s="63"/>
      <c r="Z137" s="6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</row>
    <row r="138" spans="1:95" s="254" customFormat="1" ht="15.75">
      <c r="A138" s="241">
        <f t="shared" si="37"/>
        <v>14</v>
      </c>
      <c r="B138" s="271" t="s">
        <v>92</v>
      </c>
      <c r="C138" s="243" t="s">
        <v>59</v>
      </c>
      <c r="D138" s="272" t="s">
        <v>93</v>
      </c>
      <c r="E138" s="243">
        <v>2014</v>
      </c>
      <c r="F138" s="244">
        <v>2014</v>
      </c>
      <c r="G138" s="257">
        <f>0.056*1.18</f>
        <v>0.06608</v>
      </c>
      <c r="H138" s="247"/>
      <c r="I138" s="245"/>
      <c r="J138" s="367" t="s">
        <v>93</v>
      </c>
      <c r="K138" s="273"/>
      <c r="L138" s="273"/>
      <c r="M138" s="273"/>
      <c r="N138" s="273"/>
      <c r="O138" s="256" t="s">
        <v>93</v>
      </c>
      <c r="P138" s="342"/>
      <c r="Q138" s="257">
        <f>G138</f>
        <v>0.06608</v>
      </c>
      <c r="R138" s="249"/>
      <c r="S138" s="249"/>
      <c r="T138" s="247"/>
      <c r="U138" s="247"/>
      <c r="V138" s="250">
        <f t="shared" si="38"/>
        <v>0.06608</v>
      </c>
      <c r="W138" s="251"/>
      <c r="X138" s="252"/>
      <c r="Y138" s="252"/>
      <c r="Z138" s="252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</row>
    <row r="139" spans="1:95" s="196" customFormat="1" ht="15.75">
      <c r="A139" s="241">
        <f t="shared" si="37"/>
        <v>15</v>
      </c>
      <c r="B139" s="202" t="s">
        <v>92</v>
      </c>
      <c r="C139" s="188" t="s">
        <v>36</v>
      </c>
      <c r="D139" s="189" t="s">
        <v>93</v>
      </c>
      <c r="E139" s="188">
        <v>2015</v>
      </c>
      <c r="F139" s="198">
        <v>2015</v>
      </c>
      <c r="G139" s="349">
        <f>0.97984*1.18</f>
        <v>1.1562112</v>
      </c>
      <c r="H139" s="191"/>
      <c r="I139" s="190"/>
      <c r="J139" s="299"/>
      <c r="K139" s="192" t="str">
        <f>D139</f>
        <v>0,55 км</v>
      </c>
      <c r="L139" s="192"/>
      <c r="M139" s="192"/>
      <c r="N139" s="192"/>
      <c r="O139" s="298" t="str">
        <f>D139</f>
        <v>0,55 км</v>
      </c>
      <c r="P139" s="301"/>
      <c r="Q139" s="349"/>
      <c r="R139" s="184">
        <f>G139</f>
        <v>1.1562112</v>
      </c>
      <c r="S139" s="184"/>
      <c r="T139" s="191"/>
      <c r="U139" s="191"/>
      <c r="V139" s="194">
        <f t="shared" si="38"/>
        <v>1.1562112</v>
      </c>
      <c r="W139" s="195"/>
      <c r="X139" s="185"/>
      <c r="Y139" s="185"/>
      <c r="Z139" s="185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</row>
    <row r="140" spans="1:95" s="254" customFormat="1" ht="15.75">
      <c r="A140" s="241">
        <f t="shared" si="37"/>
        <v>16</v>
      </c>
      <c r="B140" s="271" t="s">
        <v>192</v>
      </c>
      <c r="C140" s="243" t="s">
        <v>59</v>
      </c>
      <c r="D140" s="272" t="s">
        <v>193</v>
      </c>
      <c r="E140" s="243">
        <v>2014</v>
      </c>
      <c r="F140" s="244">
        <v>2014</v>
      </c>
      <c r="G140" s="257">
        <f>0.049*1.18</f>
        <v>0.057819999999999996</v>
      </c>
      <c r="H140" s="247"/>
      <c r="I140" s="245"/>
      <c r="J140" s="367" t="str">
        <f>D140</f>
        <v>2х0,24 км</v>
      </c>
      <c r="K140" s="273"/>
      <c r="L140" s="273"/>
      <c r="M140" s="273"/>
      <c r="N140" s="273"/>
      <c r="O140" s="256" t="s">
        <v>93</v>
      </c>
      <c r="P140" s="342"/>
      <c r="Q140" s="257">
        <f>G140</f>
        <v>0.057819999999999996</v>
      </c>
      <c r="R140" s="249"/>
      <c r="S140" s="249"/>
      <c r="T140" s="247"/>
      <c r="U140" s="247"/>
      <c r="V140" s="250">
        <f>SUM(P140:S140)</f>
        <v>0.057819999999999996</v>
      </c>
      <c r="W140" s="251"/>
      <c r="X140" s="252"/>
      <c r="Y140" s="252"/>
      <c r="Z140" s="252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</row>
    <row r="141" spans="1:95" s="196" customFormat="1" ht="15.75">
      <c r="A141" s="241">
        <f t="shared" si="37"/>
        <v>17</v>
      </c>
      <c r="B141" s="202" t="s">
        <v>192</v>
      </c>
      <c r="C141" s="188" t="s">
        <v>36</v>
      </c>
      <c r="D141" s="189" t="s">
        <v>193</v>
      </c>
      <c r="E141" s="188">
        <v>2015</v>
      </c>
      <c r="F141" s="198">
        <v>2015</v>
      </c>
      <c r="G141" s="349">
        <f>0.5*1.18</f>
        <v>0.59</v>
      </c>
      <c r="H141" s="191"/>
      <c r="I141" s="190"/>
      <c r="J141" s="299"/>
      <c r="K141" s="192" t="str">
        <f>D141</f>
        <v>2х0,24 км</v>
      </c>
      <c r="L141" s="192"/>
      <c r="M141" s="192"/>
      <c r="N141" s="192"/>
      <c r="O141" s="298" t="str">
        <f>D141</f>
        <v>2х0,24 км</v>
      </c>
      <c r="P141" s="301"/>
      <c r="Q141" s="349"/>
      <c r="R141" s="184">
        <f>G141</f>
        <v>0.59</v>
      </c>
      <c r="S141" s="184"/>
      <c r="T141" s="191"/>
      <c r="U141" s="191"/>
      <c r="V141" s="194">
        <f>SUM(P141:S141)</f>
        <v>0.59</v>
      </c>
      <c r="W141" s="195"/>
      <c r="X141" s="185"/>
      <c r="Y141" s="185"/>
      <c r="Z141" s="185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</row>
    <row r="142" spans="1:95" s="224" customFormat="1" ht="15.75">
      <c r="A142" s="241">
        <v>18</v>
      </c>
      <c r="B142" s="211" t="s">
        <v>233</v>
      </c>
      <c r="C142" s="215" t="s">
        <v>59</v>
      </c>
      <c r="D142" s="216" t="s">
        <v>234</v>
      </c>
      <c r="E142" s="215">
        <v>2017</v>
      </c>
      <c r="F142" s="214">
        <v>2017</v>
      </c>
      <c r="G142" s="375">
        <f>0.1003*1.18</f>
        <v>0.118354</v>
      </c>
      <c r="H142" s="218"/>
      <c r="I142" s="217"/>
      <c r="J142" s="361"/>
      <c r="K142" s="219"/>
      <c r="L142" s="220"/>
      <c r="M142" s="221" t="str">
        <f>D142</f>
        <v>1,35 км</v>
      </c>
      <c r="N142" s="221"/>
      <c r="O142" s="222" t="str">
        <f>M142</f>
        <v>1,35 км</v>
      </c>
      <c r="P142" s="335"/>
      <c r="Q142" s="223"/>
      <c r="R142" s="221"/>
      <c r="S142" s="225"/>
      <c r="T142" s="212">
        <f>G142</f>
        <v>0.118354</v>
      </c>
      <c r="U142" s="212"/>
      <c r="V142" s="307">
        <f>T142</f>
        <v>0.118354</v>
      </c>
      <c r="W142" s="213"/>
      <c r="X142" s="72"/>
      <c r="Y142" s="72"/>
      <c r="Z142" s="72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</row>
    <row r="143" spans="1:95" s="224" customFormat="1" ht="15.75">
      <c r="A143" s="241">
        <v>19</v>
      </c>
      <c r="B143" s="211" t="s">
        <v>314</v>
      </c>
      <c r="C143" s="215" t="s">
        <v>59</v>
      </c>
      <c r="D143" s="216" t="s">
        <v>235</v>
      </c>
      <c r="E143" s="215">
        <v>2017</v>
      </c>
      <c r="F143" s="214">
        <v>2017</v>
      </c>
      <c r="G143" s="375">
        <f>0.06574*1.18</f>
        <v>0.07757320000000001</v>
      </c>
      <c r="H143" s="218"/>
      <c r="I143" s="217"/>
      <c r="J143" s="361"/>
      <c r="K143" s="219"/>
      <c r="L143" s="220"/>
      <c r="M143" s="221" t="str">
        <f>D143</f>
        <v>0,885 км</v>
      </c>
      <c r="N143" s="221"/>
      <c r="O143" s="222" t="str">
        <f>M143</f>
        <v>0,885 км</v>
      </c>
      <c r="P143" s="335"/>
      <c r="Q143" s="223"/>
      <c r="R143" s="221"/>
      <c r="S143" s="225"/>
      <c r="T143" s="212">
        <f>G143</f>
        <v>0.07757320000000001</v>
      </c>
      <c r="U143" s="212"/>
      <c r="V143" s="307">
        <f>T143</f>
        <v>0.07757320000000001</v>
      </c>
      <c r="W143" s="213"/>
      <c r="X143" s="72"/>
      <c r="Y143" s="72"/>
      <c r="Z143" s="72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</row>
    <row r="144" spans="1:95" s="224" customFormat="1" ht="15.75">
      <c r="A144" s="241">
        <v>20</v>
      </c>
      <c r="B144" s="211" t="s">
        <v>236</v>
      </c>
      <c r="C144" s="215" t="s">
        <v>59</v>
      </c>
      <c r="D144" s="216" t="s">
        <v>237</v>
      </c>
      <c r="E144" s="215">
        <v>2017</v>
      </c>
      <c r="F144" s="214">
        <v>2017</v>
      </c>
      <c r="G144" s="375">
        <f>0.05126*1.18</f>
        <v>0.0604868</v>
      </c>
      <c r="H144" s="218"/>
      <c r="I144" s="217"/>
      <c r="J144" s="361"/>
      <c r="K144" s="219"/>
      <c r="L144" s="220"/>
      <c r="M144" s="221" t="str">
        <f>D144</f>
        <v>0,69 км</v>
      </c>
      <c r="N144" s="221"/>
      <c r="O144" s="222" t="str">
        <f>M144</f>
        <v>0,69 км</v>
      </c>
      <c r="P144" s="335"/>
      <c r="Q144" s="223"/>
      <c r="R144" s="221"/>
      <c r="S144" s="225"/>
      <c r="T144" s="212">
        <f>G144</f>
        <v>0.0604868</v>
      </c>
      <c r="U144" s="212"/>
      <c r="V144" s="307">
        <f>T144</f>
        <v>0.0604868</v>
      </c>
      <c r="W144" s="213"/>
      <c r="X144" s="72"/>
      <c r="Y144" s="72"/>
      <c r="Z144" s="72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</row>
    <row r="145" spans="1:95" s="236" customFormat="1" ht="15.75">
      <c r="A145" s="241">
        <f t="shared" si="37"/>
        <v>21</v>
      </c>
      <c r="B145" s="205" t="s">
        <v>236</v>
      </c>
      <c r="C145" s="226" t="s">
        <v>36</v>
      </c>
      <c r="D145" s="227" t="s">
        <v>237</v>
      </c>
      <c r="E145" s="226">
        <v>2018</v>
      </c>
      <c r="F145" s="310">
        <v>2018</v>
      </c>
      <c r="G145" s="376">
        <f>1.32955*1.18</f>
        <v>1.5688689999999998</v>
      </c>
      <c r="H145" s="229"/>
      <c r="I145" s="228"/>
      <c r="J145" s="363"/>
      <c r="K145" s="230"/>
      <c r="L145" s="231"/>
      <c r="M145" s="232"/>
      <c r="N145" s="232" t="str">
        <f>D145</f>
        <v>0,69 км</v>
      </c>
      <c r="O145" s="233" t="str">
        <f>D145</f>
        <v>0,69 км</v>
      </c>
      <c r="P145" s="337"/>
      <c r="Q145" s="234"/>
      <c r="R145" s="232"/>
      <c r="S145" s="235"/>
      <c r="T145" s="206"/>
      <c r="U145" s="206">
        <f>G145</f>
        <v>1.5688689999999998</v>
      </c>
      <c r="V145" s="308">
        <f>SUM(Q145:U145)</f>
        <v>1.5688689999999998</v>
      </c>
      <c r="W145" s="207"/>
      <c r="X145" s="208"/>
      <c r="Y145" s="208"/>
      <c r="Z145" s="208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</row>
    <row r="146" spans="1:95" s="224" customFormat="1" ht="15.75">
      <c r="A146" s="241">
        <f t="shared" si="37"/>
        <v>22</v>
      </c>
      <c r="B146" s="211" t="s">
        <v>238</v>
      </c>
      <c r="C146" s="215" t="s">
        <v>59</v>
      </c>
      <c r="D146" s="216" t="s">
        <v>93</v>
      </c>
      <c r="E146" s="215">
        <v>2017</v>
      </c>
      <c r="F146" s="214">
        <v>2017</v>
      </c>
      <c r="G146" s="375">
        <f>0.04086*1.18</f>
        <v>0.048214799999999995</v>
      </c>
      <c r="H146" s="218"/>
      <c r="I146" s="217"/>
      <c r="J146" s="361"/>
      <c r="K146" s="219"/>
      <c r="L146" s="220"/>
      <c r="M146" s="221" t="str">
        <f>D146</f>
        <v>0,55 км</v>
      </c>
      <c r="N146" s="221"/>
      <c r="O146" s="222" t="str">
        <f>M146</f>
        <v>0,55 км</v>
      </c>
      <c r="P146" s="335"/>
      <c r="Q146" s="223"/>
      <c r="R146" s="221"/>
      <c r="S146" s="225"/>
      <c r="T146" s="212">
        <f>G146</f>
        <v>0.048214799999999995</v>
      </c>
      <c r="U146" s="212"/>
      <c r="V146" s="307">
        <f>T146</f>
        <v>0.048214799999999995</v>
      </c>
      <c r="W146" s="213"/>
      <c r="X146" s="72"/>
      <c r="Y146" s="72"/>
      <c r="Z146" s="72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</row>
    <row r="147" spans="1:95" s="236" customFormat="1" ht="15.75">
      <c r="A147" s="241">
        <f t="shared" si="37"/>
        <v>23</v>
      </c>
      <c r="B147" s="205" t="s">
        <v>238</v>
      </c>
      <c r="C147" s="226" t="s">
        <v>36</v>
      </c>
      <c r="D147" s="227" t="s">
        <v>93</v>
      </c>
      <c r="E147" s="226">
        <v>2018</v>
      </c>
      <c r="F147" s="310">
        <v>2018</v>
      </c>
      <c r="G147" s="376">
        <f>1.05979*1.18</f>
        <v>1.2505522</v>
      </c>
      <c r="H147" s="229"/>
      <c r="I147" s="228"/>
      <c r="J147" s="363"/>
      <c r="K147" s="230"/>
      <c r="L147" s="231"/>
      <c r="M147" s="232"/>
      <c r="N147" s="232" t="str">
        <f>D147</f>
        <v>0,55 км</v>
      </c>
      <c r="O147" s="233" t="str">
        <f>D147</f>
        <v>0,55 км</v>
      </c>
      <c r="P147" s="337"/>
      <c r="Q147" s="234"/>
      <c r="R147" s="232"/>
      <c r="S147" s="235"/>
      <c r="T147" s="206"/>
      <c r="U147" s="206">
        <f>G147</f>
        <v>1.2505522</v>
      </c>
      <c r="V147" s="308">
        <f>SUM(Q147:U147)</f>
        <v>1.2505522</v>
      </c>
      <c r="W147" s="207"/>
      <c r="X147" s="208"/>
      <c r="Y147" s="208"/>
      <c r="Z147" s="208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</row>
    <row r="148" spans="1:95" s="21" customFormat="1" ht="21" customHeight="1">
      <c r="A148" s="36" t="s">
        <v>199</v>
      </c>
      <c r="B148" s="96" t="s">
        <v>69</v>
      </c>
      <c r="C148" s="43"/>
      <c r="D148" s="41"/>
      <c r="E148" s="43"/>
      <c r="F148" s="41"/>
      <c r="G148" s="135">
        <f>SUM(G149)</f>
        <v>1.5961033999999998</v>
      </c>
      <c r="H148" s="8"/>
      <c r="I148" s="4"/>
      <c r="J148" s="362"/>
      <c r="K148" s="3"/>
      <c r="L148" s="3"/>
      <c r="M148" s="3"/>
      <c r="N148" s="3"/>
      <c r="O148" s="154"/>
      <c r="P148" s="345"/>
      <c r="Q148" s="135">
        <f aca="true" t="shared" si="39" ref="Q148:V148">Q149</f>
        <v>1.5961033999999998</v>
      </c>
      <c r="R148" s="8">
        <f t="shared" si="39"/>
        <v>0</v>
      </c>
      <c r="S148" s="8">
        <f t="shared" si="39"/>
        <v>0</v>
      </c>
      <c r="T148" s="8">
        <f t="shared" si="39"/>
        <v>0</v>
      </c>
      <c r="U148" s="8">
        <f t="shared" si="39"/>
        <v>0</v>
      </c>
      <c r="V148" s="129">
        <f t="shared" si="39"/>
        <v>1.5961033999999998</v>
      </c>
      <c r="W148" s="62"/>
      <c r="X148" s="73"/>
      <c r="Y148" s="73"/>
      <c r="Z148" s="73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</row>
    <row r="149" spans="1:95" s="254" customFormat="1" ht="15.75">
      <c r="A149" s="259">
        <v>1</v>
      </c>
      <c r="B149" s="271" t="s">
        <v>331</v>
      </c>
      <c r="C149" s="243" t="s">
        <v>36</v>
      </c>
      <c r="D149" s="272" t="s">
        <v>204</v>
      </c>
      <c r="E149" s="243">
        <v>2014</v>
      </c>
      <c r="F149" s="244">
        <v>2014</v>
      </c>
      <c r="G149" s="257">
        <f>1.35263*1.18</f>
        <v>1.5961033999999998</v>
      </c>
      <c r="H149" s="247"/>
      <c r="I149" s="245"/>
      <c r="J149" s="367" t="str">
        <f>D149</f>
        <v>0,84км</v>
      </c>
      <c r="K149" s="273"/>
      <c r="L149" s="273"/>
      <c r="M149" s="273"/>
      <c r="N149" s="273"/>
      <c r="O149" s="256" t="s">
        <v>93</v>
      </c>
      <c r="P149" s="342"/>
      <c r="Q149" s="257">
        <f>G149</f>
        <v>1.5961033999999998</v>
      </c>
      <c r="R149" s="249"/>
      <c r="S149" s="249"/>
      <c r="T149" s="247"/>
      <c r="U149" s="247"/>
      <c r="V149" s="250">
        <f>SUM(P149:S149)</f>
        <v>1.5961033999999998</v>
      </c>
      <c r="W149" s="251"/>
      <c r="X149" s="252"/>
      <c r="Y149" s="252"/>
      <c r="Z149" s="252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</row>
    <row r="150" spans="1:95" s="22" customFormat="1" ht="18.75" customHeight="1">
      <c r="A150" s="79" t="s">
        <v>94</v>
      </c>
      <c r="B150" s="88" t="s">
        <v>95</v>
      </c>
      <c r="C150" s="123"/>
      <c r="D150" s="107"/>
      <c r="E150" s="123"/>
      <c r="F150" s="107"/>
      <c r="G150" s="133">
        <f>G151</f>
        <v>74.43181580000001</v>
      </c>
      <c r="H150" s="12"/>
      <c r="I150" s="124"/>
      <c r="J150" s="364"/>
      <c r="K150" s="12"/>
      <c r="L150" s="12"/>
      <c r="M150" s="12"/>
      <c r="N150" s="12"/>
      <c r="O150" s="314"/>
      <c r="P150" s="333">
        <f aca="true" t="shared" si="40" ref="P150:V150">P151</f>
        <v>0</v>
      </c>
      <c r="Q150" s="133">
        <f t="shared" si="40"/>
        <v>0.7345028</v>
      </c>
      <c r="R150" s="14">
        <f t="shared" si="40"/>
        <v>18.1755518</v>
      </c>
      <c r="S150" s="14">
        <f t="shared" si="40"/>
        <v>6.8195386000000005</v>
      </c>
      <c r="T150" s="14">
        <f t="shared" si="40"/>
        <v>35.87199999999999</v>
      </c>
      <c r="U150" s="14">
        <f t="shared" si="40"/>
        <v>12.830222599999999</v>
      </c>
      <c r="V150" s="134">
        <f t="shared" si="40"/>
        <v>74.43181580000001</v>
      </c>
      <c r="W150" s="62"/>
      <c r="X150" s="74"/>
      <c r="Y150" s="73" t="s">
        <v>126</v>
      </c>
      <c r="Z150" s="73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</row>
    <row r="151" spans="1:95" s="20" customFormat="1" ht="15.75">
      <c r="A151" s="36" t="s">
        <v>96</v>
      </c>
      <c r="B151" s="92" t="s">
        <v>35</v>
      </c>
      <c r="C151" s="120"/>
      <c r="D151" s="106"/>
      <c r="E151" s="120"/>
      <c r="F151" s="106"/>
      <c r="G151" s="135">
        <f>SUM(G152:G163)</f>
        <v>74.43181580000001</v>
      </c>
      <c r="H151" s="16"/>
      <c r="I151" s="35"/>
      <c r="J151" s="85"/>
      <c r="K151" s="16"/>
      <c r="L151" s="16"/>
      <c r="M151" s="16"/>
      <c r="N151" s="16"/>
      <c r="O151" s="162"/>
      <c r="P151" s="161">
        <f>SUM(P152:P153)</f>
        <v>0</v>
      </c>
      <c r="Q151" s="135">
        <f>SUM(Q152:Q153)</f>
        <v>0.7345028</v>
      </c>
      <c r="R151" s="8">
        <f>SUM(R152:R154)</f>
        <v>18.1755518</v>
      </c>
      <c r="S151" s="8">
        <f>SUM(S152:S158)</f>
        <v>6.8195386000000005</v>
      </c>
      <c r="T151" s="8">
        <f>SUM(T152:T162)</f>
        <v>35.87199999999999</v>
      </c>
      <c r="U151" s="8">
        <f>SUM(U152:U163)</f>
        <v>12.830222599999999</v>
      </c>
      <c r="V151" s="129">
        <f>SUM(V152:V163)</f>
        <v>74.43181580000001</v>
      </c>
      <c r="W151" s="62"/>
      <c r="X151" s="63"/>
      <c r="Y151" s="63"/>
      <c r="Z151" s="6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</row>
    <row r="152" spans="1:95" s="254" customFormat="1" ht="15.75">
      <c r="A152" s="259">
        <v>1</v>
      </c>
      <c r="B152" s="271" t="s">
        <v>172</v>
      </c>
      <c r="C152" s="243" t="s">
        <v>36</v>
      </c>
      <c r="D152" s="272" t="s">
        <v>173</v>
      </c>
      <c r="E152" s="243">
        <v>2014</v>
      </c>
      <c r="F152" s="244">
        <v>2014</v>
      </c>
      <c r="G152" s="257">
        <f>0.62246*1.18</f>
        <v>0.7345028</v>
      </c>
      <c r="H152" s="247"/>
      <c r="I152" s="245"/>
      <c r="J152" s="367" t="str">
        <f>D152</f>
        <v>КСО 2 шт.</v>
      </c>
      <c r="K152" s="273"/>
      <c r="L152" s="273"/>
      <c r="M152" s="273"/>
      <c r="N152" s="273"/>
      <c r="O152" s="256" t="str">
        <f>J152</f>
        <v>КСО 2 шт.</v>
      </c>
      <c r="P152" s="342"/>
      <c r="Q152" s="257">
        <f>G152</f>
        <v>0.7345028</v>
      </c>
      <c r="R152" s="249"/>
      <c r="S152" s="249"/>
      <c r="T152" s="247"/>
      <c r="U152" s="247"/>
      <c r="V152" s="250">
        <f>SUM(P152:S152)</f>
        <v>0.7345028</v>
      </c>
      <c r="W152" s="251"/>
      <c r="X152" s="252"/>
      <c r="Y152" s="252"/>
      <c r="Z152" s="252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</row>
    <row r="153" spans="1:95" s="203" customFormat="1" ht="31.5">
      <c r="A153" s="241">
        <f aca="true" t="shared" si="41" ref="A153:A163">A152+1</f>
        <v>2</v>
      </c>
      <c r="B153" s="179" t="s">
        <v>97</v>
      </c>
      <c r="C153" s="180" t="s">
        <v>36</v>
      </c>
      <c r="D153" s="181" t="s">
        <v>210</v>
      </c>
      <c r="E153" s="180">
        <v>2015</v>
      </c>
      <c r="F153" s="181">
        <v>2015</v>
      </c>
      <c r="G153" s="379">
        <f>15.15301*1.18</f>
        <v>17.8805518</v>
      </c>
      <c r="H153" s="183"/>
      <c r="I153" s="182"/>
      <c r="J153" s="368"/>
      <c r="K153" s="193" t="str">
        <f>D153</f>
        <v>(КСО-15 шт., ЩО70-2шт.)</v>
      </c>
      <c r="L153" s="192"/>
      <c r="M153" s="192"/>
      <c r="N153" s="192"/>
      <c r="O153" s="298" t="str">
        <f>D153</f>
        <v>(КСО-15 шт., ЩО70-2шт.)</v>
      </c>
      <c r="P153" s="301"/>
      <c r="Q153" s="349"/>
      <c r="R153" s="184">
        <f>G153</f>
        <v>17.8805518</v>
      </c>
      <c r="S153" s="184"/>
      <c r="T153" s="191"/>
      <c r="U153" s="191"/>
      <c r="V153" s="194">
        <f>SUM(P153:S153)</f>
        <v>17.8805518</v>
      </c>
      <c r="W153" s="195"/>
      <c r="X153" s="185"/>
      <c r="Y153" s="185"/>
      <c r="Z153" s="185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  <c r="BU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/>
      <c r="CG153" s="186"/>
      <c r="CH153" s="186"/>
      <c r="CI153" s="186"/>
      <c r="CJ153" s="186"/>
      <c r="CK153" s="186"/>
      <c r="CL153" s="186"/>
      <c r="CM153" s="186"/>
      <c r="CN153" s="186"/>
      <c r="CO153" s="186"/>
      <c r="CP153" s="186"/>
      <c r="CQ153" s="186"/>
    </row>
    <row r="154" spans="1:95" s="203" customFormat="1" ht="15.75">
      <c r="A154" s="241">
        <f t="shared" si="41"/>
        <v>3</v>
      </c>
      <c r="B154" s="179" t="s">
        <v>332</v>
      </c>
      <c r="C154" s="180" t="s">
        <v>59</v>
      </c>
      <c r="D154" s="181" t="s">
        <v>274</v>
      </c>
      <c r="E154" s="180">
        <v>2015</v>
      </c>
      <c r="F154" s="181">
        <v>2015</v>
      </c>
      <c r="G154" s="379">
        <f>0.25*1.18</f>
        <v>0.295</v>
      </c>
      <c r="H154" s="183"/>
      <c r="I154" s="182"/>
      <c r="J154" s="368"/>
      <c r="K154" s="193" t="str">
        <f>D154</f>
        <v>(КСО-17 шт.)</v>
      </c>
      <c r="L154" s="192"/>
      <c r="M154" s="192"/>
      <c r="N154" s="192"/>
      <c r="O154" s="298" t="str">
        <f>D154</f>
        <v>(КСО-17 шт.)</v>
      </c>
      <c r="P154" s="301"/>
      <c r="Q154" s="349"/>
      <c r="R154" s="184">
        <f>G154</f>
        <v>0.295</v>
      </c>
      <c r="S154" s="184"/>
      <c r="T154" s="191"/>
      <c r="U154" s="191"/>
      <c r="V154" s="194">
        <f>SUM(P154:S154)</f>
        <v>0.295</v>
      </c>
      <c r="W154" s="195"/>
      <c r="X154" s="185"/>
      <c r="Y154" s="185"/>
      <c r="Z154" s="185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186"/>
      <c r="CO154" s="186"/>
      <c r="CP154" s="186"/>
      <c r="CQ154" s="186"/>
    </row>
    <row r="155" spans="1:95" s="163" customFormat="1" ht="15.75">
      <c r="A155" s="241">
        <f t="shared" si="41"/>
        <v>4</v>
      </c>
      <c r="B155" s="238" t="s">
        <v>332</v>
      </c>
      <c r="C155" s="121" t="s">
        <v>36</v>
      </c>
      <c r="D155" s="58" t="s">
        <v>274</v>
      </c>
      <c r="E155" s="121">
        <v>2016</v>
      </c>
      <c r="F155" s="58">
        <v>2016</v>
      </c>
      <c r="G155" s="352">
        <f>5.14778*1.18</f>
        <v>6.0743804</v>
      </c>
      <c r="H155" s="49"/>
      <c r="I155" s="122"/>
      <c r="J155" s="86"/>
      <c r="K155" s="60"/>
      <c r="L155" s="50" t="str">
        <f>D155</f>
        <v>(КСО-17 шт.)</v>
      </c>
      <c r="M155" s="59"/>
      <c r="N155" s="59"/>
      <c r="O155" s="60" t="str">
        <f>D155</f>
        <v>(КСО-17 шт.)</v>
      </c>
      <c r="P155" s="302"/>
      <c r="Q155" s="137"/>
      <c r="R155" s="59"/>
      <c r="S155" s="150">
        <f>G155</f>
        <v>6.0743804</v>
      </c>
      <c r="T155" s="17"/>
      <c r="U155" s="17"/>
      <c r="V155" s="131">
        <f>SUM(P155:T155)</f>
        <v>6.0743804</v>
      </c>
      <c r="W155" s="62"/>
      <c r="X155" s="63"/>
      <c r="Y155" s="63"/>
      <c r="Z155" s="6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</row>
    <row r="156" spans="1:95" s="163" customFormat="1" ht="31.5">
      <c r="A156" s="241">
        <f t="shared" si="41"/>
        <v>5</v>
      </c>
      <c r="B156" s="238" t="s">
        <v>333</v>
      </c>
      <c r="C156" s="121" t="s">
        <v>59</v>
      </c>
      <c r="D156" s="58" t="s">
        <v>289</v>
      </c>
      <c r="E156" s="121">
        <v>2016</v>
      </c>
      <c r="F156" s="58">
        <v>2016</v>
      </c>
      <c r="G156" s="352">
        <f>0.33*1.18</f>
        <v>0.3894</v>
      </c>
      <c r="H156" s="49"/>
      <c r="I156" s="122"/>
      <c r="J156" s="86"/>
      <c r="K156" s="60"/>
      <c r="L156" s="50" t="str">
        <f>D156</f>
        <v>(КСО-18 шт., ЩО70-4шт.)</v>
      </c>
      <c r="M156" s="59"/>
      <c r="N156" s="59"/>
      <c r="O156" s="60" t="str">
        <f>D156</f>
        <v>(КСО-18 шт., ЩО70-4шт.)</v>
      </c>
      <c r="P156" s="302"/>
      <c r="Q156" s="137"/>
      <c r="R156" s="59"/>
      <c r="S156" s="150">
        <f>G156</f>
        <v>0.3894</v>
      </c>
      <c r="T156" s="17"/>
      <c r="U156" s="17"/>
      <c r="V156" s="131">
        <f>SUM(P156:T156)</f>
        <v>0.3894</v>
      </c>
      <c r="W156" s="62"/>
      <c r="X156" s="63"/>
      <c r="Y156" s="63"/>
      <c r="Z156" s="6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</row>
    <row r="157" spans="1:95" s="224" customFormat="1" ht="31.5">
      <c r="A157" s="241">
        <f t="shared" si="41"/>
        <v>6</v>
      </c>
      <c r="B157" s="304" t="s">
        <v>333</v>
      </c>
      <c r="C157" s="215" t="s">
        <v>36</v>
      </c>
      <c r="D157" s="214" t="s">
        <v>293</v>
      </c>
      <c r="E157" s="215">
        <v>2017</v>
      </c>
      <c r="F157" s="214">
        <v>2017</v>
      </c>
      <c r="G157" s="375">
        <f>15*1.18</f>
        <v>17.7</v>
      </c>
      <c r="H157" s="218"/>
      <c r="I157" s="217"/>
      <c r="J157" s="361"/>
      <c r="K157" s="219"/>
      <c r="L157" s="220"/>
      <c r="M157" s="220" t="str">
        <f>D157</f>
        <v>(КСО-18 шт., ЩО70-4 шт.)</v>
      </c>
      <c r="N157" s="221"/>
      <c r="O157" s="219" t="str">
        <f>M157</f>
        <v>(КСО-18 шт., ЩО70-4 шт.)</v>
      </c>
      <c r="P157" s="335"/>
      <c r="Q157" s="223"/>
      <c r="R157" s="221"/>
      <c r="S157" s="225"/>
      <c r="T157" s="212">
        <f>G157</f>
        <v>17.7</v>
      </c>
      <c r="U157" s="212"/>
      <c r="V157" s="307">
        <f>T157</f>
        <v>17.7</v>
      </c>
      <c r="W157" s="213"/>
      <c r="X157" s="72"/>
      <c r="Y157" s="72"/>
      <c r="Z157" s="72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</row>
    <row r="158" spans="1:95" s="163" customFormat="1" ht="31.5">
      <c r="A158" s="241">
        <f t="shared" si="41"/>
        <v>7</v>
      </c>
      <c r="B158" s="238" t="s">
        <v>290</v>
      </c>
      <c r="C158" s="121" t="s">
        <v>59</v>
      </c>
      <c r="D158" s="58" t="s">
        <v>291</v>
      </c>
      <c r="E158" s="121">
        <v>2016</v>
      </c>
      <c r="F158" s="58">
        <v>2016</v>
      </c>
      <c r="G158" s="352">
        <f>0.30149*1.18</f>
        <v>0.35575819999999997</v>
      </c>
      <c r="H158" s="49"/>
      <c r="I158" s="122"/>
      <c r="J158" s="86"/>
      <c r="K158" s="60"/>
      <c r="L158" s="50" t="str">
        <f>D158</f>
        <v>(КСО-16 шт., ЩО70-5шт.)</v>
      </c>
      <c r="M158" s="220"/>
      <c r="N158" s="59"/>
      <c r="O158" s="60" t="str">
        <f>D158</f>
        <v>(КСО-16 шт., ЩО70-5шт.)</v>
      </c>
      <c r="P158" s="302"/>
      <c r="Q158" s="137"/>
      <c r="R158" s="59"/>
      <c r="S158" s="150">
        <f>G158</f>
        <v>0.35575819999999997</v>
      </c>
      <c r="T158" s="17"/>
      <c r="U158" s="17"/>
      <c r="V158" s="131">
        <f>SUM(P158:T158)</f>
        <v>0.35575819999999997</v>
      </c>
      <c r="W158" s="62"/>
      <c r="X158" s="63"/>
      <c r="Y158" s="63"/>
      <c r="Z158" s="6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</row>
    <row r="159" spans="1:95" s="224" customFormat="1" ht="31.5">
      <c r="A159" s="241">
        <f t="shared" si="41"/>
        <v>8</v>
      </c>
      <c r="B159" s="304" t="s">
        <v>290</v>
      </c>
      <c r="C159" s="215" t="s">
        <v>36</v>
      </c>
      <c r="D159" s="214" t="s">
        <v>295</v>
      </c>
      <c r="E159" s="215">
        <v>2017</v>
      </c>
      <c r="F159" s="214">
        <v>2017</v>
      </c>
      <c r="G159" s="375">
        <f>15*1.18</f>
        <v>17.7</v>
      </c>
      <c r="H159" s="218"/>
      <c r="I159" s="217"/>
      <c r="J159" s="361"/>
      <c r="K159" s="219"/>
      <c r="L159" s="220"/>
      <c r="M159" s="220" t="str">
        <f>D159</f>
        <v>(КСО-16 шт., ЩО70-5 шт.)</v>
      </c>
      <c r="N159" s="221"/>
      <c r="O159" s="219" t="str">
        <f>M159</f>
        <v>(КСО-16 шт., ЩО70-5 шт.)</v>
      </c>
      <c r="P159" s="335"/>
      <c r="Q159" s="223"/>
      <c r="R159" s="221"/>
      <c r="S159" s="225"/>
      <c r="T159" s="212">
        <f>G159</f>
        <v>17.7</v>
      </c>
      <c r="U159" s="212"/>
      <c r="V159" s="307">
        <f>T159</f>
        <v>17.7</v>
      </c>
      <c r="W159" s="213"/>
      <c r="X159" s="72"/>
      <c r="Y159" s="72"/>
      <c r="Z159" s="72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</row>
    <row r="160" spans="1:95" s="224" customFormat="1" ht="15.75">
      <c r="A160" s="241">
        <f t="shared" si="41"/>
        <v>9</v>
      </c>
      <c r="B160" s="304" t="s">
        <v>304</v>
      </c>
      <c r="C160" s="215" t="s">
        <v>59</v>
      </c>
      <c r="D160" s="214" t="s">
        <v>303</v>
      </c>
      <c r="E160" s="215">
        <v>2017</v>
      </c>
      <c r="F160" s="214">
        <v>2017</v>
      </c>
      <c r="G160" s="375">
        <f>0.2*1.18</f>
        <v>0.236</v>
      </c>
      <c r="H160" s="218"/>
      <c r="I160" s="217"/>
      <c r="J160" s="361"/>
      <c r="K160" s="219"/>
      <c r="L160" s="220"/>
      <c r="M160" s="220" t="str">
        <f>D160</f>
        <v>(КСО-18 шт.)</v>
      </c>
      <c r="N160" s="221"/>
      <c r="O160" s="222" t="str">
        <f>M160</f>
        <v>(КСО-18 шт.)</v>
      </c>
      <c r="P160" s="335"/>
      <c r="Q160" s="223"/>
      <c r="R160" s="221"/>
      <c r="S160" s="225"/>
      <c r="T160" s="212">
        <f>G160</f>
        <v>0.236</v>
      </c>
      <c r="U160" s="212"/>
      <c r="V160" s="307">
        <f>T160</f>
        <v>0.236</v>
      </c>
      <c r="W160" s="213"/>
      <c r="X160" s="72"/>
      <c r="Y160" s="72"/>
      <c r="Z160" s="72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</row>
    <row r="161" spans="1:95" s="236" customFormat="1" ht="15.75">
      <c r="A161" s="241">
        <f t="shared" si="41"/>
        <v>10</v>
      </c>
      <c r="B161" s="309" t="s">
        <v>304</v>
      </c>
      <c r="C161" s="226" t="s">
        <v>36</v>
      </c>
      <c r="D161" s="310" t="s">
        <v>303</v>
      </c>
      <c r="E161" s="226">
        <v>2018</v>
      </c>
      <c r="F161" s="310">
        <v>2018</v>
      </c>
      <c r="G161" s="376">
        <f>3*1.18</f>
        <v>3.54</v>
      </c>
      <c r="H161" s="229"/>
      <c r="I161" s="228"/>
      <c r="J161" s="363"/>
      <c r="K161" s="230"/>
      <c r="L161" s="231"/>
      <c r="M161" s="232"/>
      <c r="N161" s="232" t="str">
        <f>D161</f>
        <v>(КСО-18 шт.)</v>
      </c>
      <c r="O161" s="233" t="str">
        <f>D161</f>
        <v>(КСО-18 шт.)</v>
      </c>
      <c r="P161" s="337"/>
      <c r="Q161" s="234"/>
      <c r="R161" s="232"/>
      <c r="S161" s="235"/>
      <c r="T161" s="206"/>
      <c r="U161" s="206">
        <f>G161</f>
        <v>3.54</v>
      </c>
      <c r="V161" s="308">
        <f>SUM(Q161:U161)</f>
        <v>3.54</v>
      </c>
      <c r="W161" s="207"/>
      <c r="X161" s="208"/>
      <c r="Y161" s="208"/>
      <c r="Z161" s="208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</row>
    <row r="162" spans="1:95" s="224" customFormat="1" ht="15.75">
      <c r="A162" s="241">
        <f t="shared" si="41"/>
        <v>11</v>
      </c>
      <c r="B162" s="304" t="s">
        <v>334</v>
      </c>
      <c r="C162" s="215" t="s">
        <v>59</v>
      </c>
      <c r="D162" s="214" t="s">
        <v>305</v>
      </c>
      <c r="E162" s="215">
        <v>2017</v>
      </c>
      <c r="F162" s="214">
        <v>2017</v>
      </c>
      <c r="G162" s="375">
        <f>0.2*1.18</f>
        <v>0.236</v>
      </c>
      <c r="H162" s="218"/>
      <c r="I162" s="217"/>
      <c r="J162" s="361"/>
      <c r="K162" s="219"/>
      <c r="L162" s="220"/>
      <c r="M162" s="220" t="str">
        <f>D162</f>
        <v>(КСО-26 шт.)</v>
      </c>
      <c r="N162" s="221"/>
      <c r="O162" s="222" t="str">
        <f>M162</f>
        <v>(КСО-26 шт.)</v>
      </c>
      <c r="P162" s="335"/>
      <c r="Q162" s="223"/>
      <c r="R162" s="221"/>
      <c r="S162" s="225"/>
      <c r="T162" s="212">
        <f>G162</f>
        <v>0.236</v>
      </c>
      <c r="U162" s="212"/>
      <c r="V162" s="307">
        <f>T162</f>
        <v>0.236</v>
      </c>
      <c r="W162" s="213"/>
      <c r="X162" s="72"/>
      <c r="Y162" s="72"/>
      <c r="Z162" s="72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</row>
    <row r="163" spans="1:95" s="236" customFormat="1" ht="15.75">
      <c r="A163" s="241">
        <f t="shared" si="41"/>
        <v>12</v>
      </c>
      <c r="B163" s="309" t="s">
        <v>334</v>
      </c>
      <c r="C163" s="226" t="s">
        <v>36</v>
      </c>
      <c r="D163" s="310" t="s">
        <v>305</v>
      </c>
      <c r="E163" s="226">
        <v>2018</v>
      </c>
      <c r="F163" s="310">
        <v>2018</v>
      </c>
      <c r="G163" s="376">
        <f>7.87307*1.18</f>
        <v>9.2902226</v>
      </c>
      <c r="H163" s="229"/>
      <c r="I163" s="228"/>
      <c r="J163" s="363"/>
      <c r="K163" s="230"/>
      <c r="L163" s="231"/>
      <c r="M163" s="232"/>
      <c r="N163" s="232" t="str">
        <f>D163</f>
        <v>(КСО-26 шт.)</v>
      </c>
      <c r="O163" s="233" t="str">
        <f>D163</f>
        <v>(КСО-26 шт.)</v>
      </c>
      <c r="P163" s="337"/>
      <c r="Q163" s="234"/>
      <c r="R163" s="232"/>
      <c r="S163" s="235"/>
      <c r="T163" s="206"/>
      <c r="U163" s="206">
        <f>G163</f>
        <v>9.2902226</v>
      </c>
      <c r="V163" s="308">
        <f>SUM(Q163:U163)</f>
        <v>9.2902226</v>
      </c>
      <c r="W163" s="207"/>
      <c r="X163" s="208"/>
      <c r="Y163" s="208"/>
      <c r="Z163" s="208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</row>
    <row r="164" spans="1:95" s="22" customFormat="1" ht="22.5" customHeight="1">
      <c r="A164" s="79" t="s">
        <v>98</v>
      </c>
      <c r="B164" s="88" t="s">
        <v>54</v>
      </c>
      <c r="C164" s="123"/>
      <c r="D164" s="107"/>
      <c r="E164" s="123"/>
      <c r="F164" s="107"/>
      <c r="G164" s="133">
        <f>G165+G204+G206</f>
        <v>48.08647499999999</v>
      </c>
      <c r="H164" s="12"/>
      <c r="I164" s="124"/>
      <c r="J164" s="364"/>
      <c r="K164" s="12"/>
      <c r="L164" s="12"/>
      <c r="M164" s="12"/>
      <c r="N164" s="12"/>
      <c r="O164" s="314"/>
      <c r="P164" s="333">
        <f aca="true" t="shared" si="42" ref="P164:V164">P165+P204+P206</f>
        <v>0</v>
      </c>
      <c r="Q164" s="133">
        <f t="shared" si="42"/>
        <v>6.409028399999999</v>
      </c>
      <c r="R164" s="14">
        <f t="shared" si="42"/>
        <v>9.011718999999998</v>
      </c>
      <c r="S164" s="14">
        <f t="shared" si="42"/>
        <v>17.9837782</v>
      </c>
      <c r="T164" s="14">
        <f t="shared" si="42"/>
        <v>8.128382799999999</v>
      </c>
      <c r="U164" s="14">
        <f t="shared" si="42"/>
        <v>6.5535666</v>
      </c>
      <c r="V164" s="134">
        <f t="shared" si="42"/>
        <v>48.08647499999999</v>
      </c>
      <c r="W164" s="62"/>
      <c r="X164" s="74"/>
      <c r="Y164" s="73"/>
      <c r="Z164" s="73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</row>
    <row r="165" spans="1:95" s="20" customFormat="1" ht="15.75">
      <c r="A165" s="36" t="s">
        <v>99</v>
      </c>
      <c r="B165" s="89" t="s">
        <v>35</v>
      </c>
      <c r="C165" s="120"/>
      <c r="D165" s="106"/>
      <c r="E165" s="120"/>
      <c r="F165" s="106"/>
      <c r="G165" s="135">
        <f>SUM(G166:G203)</f>
        <v>39.09596059999999</v>
      </c>
      <c r="H165" s="16"/>
      <c r="I165" s="35"/>
      <c r="J165" s="85"/>
      <c r="K165" s="16"/>
      <c r="L165" s="16"/>
      <c r="M165" s="16"/>
      <c r="N165" s="16"/>
      <c r="O165" s="162"/>
      <c r="P165" s="161">
        <f>SUM(P166:P170)</f>
        <v>0</v>
      </c>
      <c r="Q165" s="135">
        <f>SUM(Q166:Q172)</f>
        <v>3.6626491999999993</v>
      </c>
      <c r="R165" s="8">
        <f>SUM(R166:R185)</f>
        <v>7.144675799999998</v>
      </c>
      <c r="S165" s="8">
        <f>SUM(S166:S193)</f>
        <v>14.1966862</v>
      </c>
      <c r="T165" s="8">
        <f>SUM(T166:T202)</f>
        <v>8.010382799999999</v>
      </c>
      <c r="U165" s="8">
        <f>SUM(U166:U203)</f>
        <v>6.0815666</v>
      </c>
      <c r="V165" s="129">
        <f>SUM(V166:V203)</f>
        <v>39.09596059999999</v>
      </c>
      <c r="W165" s="62"/>
      <c r="X165" s="63"/>
      <c r="Y165" s="63"/>
      <c r="Z165" s="6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</row>
    <row r="166" spans="1:95" s="254" customFormat="1" ht="55.5" customHeight="1">
      <c r="A166" s="259">
        <v>1</v>
      </c>
      <c r="B166" s="271" t="s">
        <v>174</v>
      </c>
      <c r="C166" s="243" t="s">
        <v>36</v>
      </c>
      <c r="D166" s="274" t="s">
        <v>194</v>
      </c>
      <c r="E166" s="243">
        <v>2014</v>
      </c>
      <c r="F166" s="244">
        <v>2014</v>
      </c>
      <c r="G166" s="257">
        <f>2.81894*1.18</f>
        <v>3.3263491999999997</v>
      </c>
      <c r="H166" s="247"/>
      <c r="I166" s="245"/>
      <c r="J166" s="277" t="str">
        <f>D166</f>
        <v>тр-р 630кВА-2 шт.; КСО-6 шт.; ЩО70-12 шт.</v>
      </c>
      <c r="K166" s="273"/>
      <c r="L166" s="273"/>
      <c r="M166" s="273"/>
      <c r="N166" s="273"/>
      <c r="O166" s="256" t="str">
        <f>J166</f>
        <v>тр-р 630кВА-2 шт.; КСО-6 шт.; ЩО70-12 шт.</v>
      </c>
      <c r="P166" s="342"/>
      <c r="Q166" s="257">
        <f>G166</f>
        <v>3.3263491999999997</v>
      </c>
      <c r="R166" s="249"/>
      <c r="S166" s="249"/>
      <c r="T166" s="247"/>
      <c r="U166" s="247"/>
      <c r="V166" s="250">
        <f>SUM(P166:S166)</f>
        <v>3.3263491999999997</v>
      </c>
      <c r="W166" s="251"/>
      <c r="X166" s="252"/>
      <c r="Y166" s="252"/>
      <c r="Z166" s="252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</row>
    <row r="167" spans="1:95" s="295" customFormat="1" ht="38.25" customHeight="1">
      <c r="A167" s="241">
        <f aca="true" t="shared" si="43" ref="A167:A203">A166+1</f>
        <v>2</v>
      </c>
      <c r="B167" s="242" t="s">
        <v>175</v>
      </c>
      <c r="C167" s="265" t="s">
        <v>59</v>
      </c>
      <c r="D167" s="274" t="s">
        <v>195</v>
      </c>
      <c r="E167" s="243">
        <v>2014</v>
      </c>
      <c r="F167" s="244">
        <v>2014</v>
      </c>
      <c r="G167" s="350">
        <f>0.095*1.18</f>
        <v>0.11209999999999999</v>
      </c>
      <c r="H167" s="267"/>
      <c r="I167" s="268"/>
      <c r="J167" s="369" t="str">
        <f>D167</f>
        <v>КСО-4 шт., ЩО-8 шт.</v>
      </c>
      <c r="K167" s="267"/>
      <c r="L167" s="267"/>
      <c r="M167" s="267"/>
      <c r="N167" s="267"/>
      <c r="O167" s="256" t="str">
        <f>J167</f>
        <v>КСО-4 шт., ЩО-8 шт.</v>
      </c>
      <c r="P167" s="336"/>
      <c r="Q167" s="257">
        <f>G167</f>
        <v>0.11209999999999999</v>
      </c>
      <c r="R167" s="260"/>
      <c r="S167" s="260"/>
      <c r="T167" s="260"/>
      <c r="U167" s="260"/>
      <c r="V167" s="250">
        <f aca="true" t="shared" si="44" ref="V167:V185">SUM(P167:S167)</f>
        <v>0.11209999999999999</v>
      </c>
      <c r="W167" s="251"/>
      <c r="X167" s="252"/>
      <c r="Y167" s="252"/>
      <c r="Z167" s="252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</row>
    <row r="168" spans="1:95" s="203" customFormat="1" ht="31.5">
      <c r="A168" s="241">
        <f t="shared" si="43"/>
        <v>3</v>
      </c>
      <c r="B168" s="179" t="s">
        <v>175</v>
      </c>
      <c r="C168" s="180" t="s">
        <v>36</v>
      </c>
      <c r="D168" s="181" t="s">
        <v>262</v>
      </c>
      <c r="E168" s="180">
        <v>2015</v>
      </c>
      <c r="F168" s="181">
        <v>2015</v>
      </c>
      <c r="G168" s="379">
        <f>1.58769*1.18</f>
        <v>1.8734742</v>
      </c>
      <c r="H168" s="183"/>
      <c r="I168" s="182"/>
      <c r="J168" s="368"/>
      <c r="K168" s="193" t="str">
        <f>D168</f>
        <v>(КСО-4 шт., ЩО70-8шт.)</v>
      </c>
      <c r="L168" s="192"/>
      <c r="M168" s="192"/>
      <c r="N168" s="192"/>
      <c r="O168" s="298" t="str">
        <f>D168</f>
        <v>(КСО-4 шт., ЩО70-8шт.)</v>
      </c>
      <c r="P168" s="301"/>
      <c r="Q168" s="349"/>
      <c r="R168" s="184">
        <f>G168</f>
        <v>1.8734742</v>
      </c>
      <c r="S168" s="184"/>
      <c r="T168" s="191"/>
      <c r="U168" s="191"/>
      <c r="V168" s="194">
        <f>SUM(P168:S168)</f>
        <v>1.8734742</v>
      </c>
      <c r="W168" s="195"/>
      <c r="X168" s="185"/>
      <c r="Y168" s="185"/>
      <c r="Z168" s="185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186"/>
      <c r="CO168" s="186"/>
      <c r="CP168" s="186"/>
      <c r="CQ168" s="186"/>
    </row>
    <row r="169" spans="1:95" s="275" customFormat="1" ht="15.75">
      <c r="A169" s="241">
        <f t="shared" si="43"/>
        <v>4</v>
      </c>
      <c r="B169" s="242" t="s">
        <v>176</v>
      </c>
      <c r="C169" s="265" t="s">
        <v>59</v>
      </c>
      <c r="D169" s="274" t="s">
        <v>196</v>
      </c>
      <c r="E169" s="243">
        <v>2014</v>
      </c>
      <c r="F169" s="244">
        <v>2014</v>
      </c>
      <c r="G169" s="350">
        <f>0.095*1.18</f>
        <v>0.11209999999999999</v>
      </c>
      <c r="H169" s="267"/>
      <c r="I169" s="268"/>
      <c r="J169" s="369" t="str">
        <f>D169</f>
        <v>КСО-6 шт.</v>
      </c>
      <c r="K169" s="267"/>
      <c r="L169" s="267"/>
      <c r="M169" s="267"/>
      <c r="N169" s="267"/>
      <c r="O169" s="256" t="str">
        <f>J169</f>
        <v>КСО-6 шт.</v>
      </c>
      <c r="P169" s="336"/>
      <c r="Q169" s="257">
        <f>G169</f>
        <v>0.11209999999999999</v>
      </c>
      <c r="R169" s="260"/>
      <c r="S169" s="260"/>
      <c r="T169" s="260"/>
      <c r="U169" s="260"/>
      <c r="V169" s="250">
        <f t="shared" si="44"/>
        <v>0.11209999999999999</v>
      </c>
      <c r="W169" s="251"/>
      <c r="X169" s="252"/>
      <c r="Y169" s="252"/>
      <c r="Z169" s="252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</row>
    <row r="170" spans="1:95" s="203" customFormat="1" ht="15.75">
      <c r="A170" s="241">
        <f t="shared" si="43"/>
        <v>5</v>
      </c>
      <c r="B170" s="179" t="s">
        <v>176</v>
      </c>
      <c r="C170" s="180" t="s">
        <v>36</v>
      </c>
      <c r="D170" s="181" t="s">
        <v>263</v>
      </c>
      <c r="E170" s="180">
        <v>2015</v>
      </c>
      <c r="F170" s="181">
        <v>2015</v>
      </c>
      <c r="G170" s="379">
        <f>1.81686*1.18</f>
        <v>2.1438948</v>
      </c>
      <c r="H170" s="183"/>
      <c r="I170" s="182"/>
      <c r="J170" s="368"/>
      <c r="K170" s="193" t="str">
        <f>D170</f>
        <v>(КСО-6 шт.)</v>
      </c>
      <c r="L170" s="192"/>
      <c r="M170" s="192"/>
      <c r="N170" s="192"/>
      <c r="O170" s="298" t="str">
        <f>D170</f>
        <v>(КСО-6 шт.)</v>
      </c>
      <c r="P170" s="301"/>
      <c r="Q170" s="349"/>
      <c r="R170" s="184">
        <f>G170</f>
        <v>2.1438948</v>
      </c>
      <c r="S170" s="184"/>
      <c r="T170" s="191"/>
      <c r="U170" s="191"/>
      <c r="V170" s="194">
        <f>SUM(P170:S170)</f>
        <v>2.1438948</v>
      </c>
      <c r="W170" s="195"/>
      <c r="X170" s="185"/>
      <c r="Y170" s="185"/>
      <c r="Z170" s="185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186"/>
      <c r="CO170" s="186"/>
      <c r="CP170" s="186"/>
      <c r="CQ170" s="186"/>
    </row>
    <row r="171" spans="1:95" s="275" customFormat="1" ht="31.5">
      <c r="A171" s="241">
        <v>7</v>
      </c>
      <c r="B171" s="242" t="s">
        <v>177</v>
      </c>
      <c r="C171" s="265" t="s">
        <v>59</v>
      </c>
      <c r="D171" s="274" t="s">
        <v>197</v>
      </c>
      <c r="E171" s="265">
        <v>2014</v>
      </c>
      <c r="F171" s="274">
        <v>2014</v>
      </c>
      <c r="G171" s="350">
        <f>0.095*1.18</f>
        <v>0.11209999999999999</v>
      </c>
      <c r="H171" s="267"/>
      <c r="I171" s="268"/>
      <c r="J171" s="369" t="s">
        <v>58</v>
      </c>
      <c r="K171" s="274"/>
      <c r="L171" s="267"/>
      <c r="M171" s="267"/>
      <c r="N171" s="267"/>
      <c r="O171" s="319" t="s">
        <v>58</v>
      </c>
      <c r="P171" s="336"/>
      <c r="Q171" s="257">
        <f>G171</f>
        <v>0.11209999999999999</v>
      </c>
      <c r="R171" s="260"/>
      <c r="S171" s="260"/>
      <c r="T171" s="260"/>
      <c r="U171" s="260"/>
      <c r="V171" s="250">
        <f t="shared" si="44"/>
        <v>0.11209999999999999</v>
      </c>
      <c r="W171" s="251"/>
      <c r="X171" s="252"/>
      <c r="Y171" s="252"/>
      <c r="Z171" s="252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53"/>
      <c r="AT171" s="253"/>
      <c r="AU171" s="253"/>
      <c r="AV171" s="253"/>
      <c r="AW171" s="253"/>
      <c r="AX171" s="253"/>
      <c r="AY171" s="253"/>
      <c r="AZ171" s="253"/>
      <c r="BA171" s="253"/>
      <c r="BB171" s="253"/>
      <c r="BC171" s="253"/>
      <c r="BD171" s="253"/>
      <c r="BE171" s="253"/>
      <c r="BF171" s="253"/>
      <c r="BG171" s="253"/>
      <c r="BH171" s="253"/>
      <c r="BI171" s="253"/>
      <c r="BJ171" s="253"/>
      <c r="BK171" s="253"/>
      <c r="BL171" s="253"/>
      <c r="BM171" s="253"/>
      <c r="BN171" s="253"/>
      <c r="BO171" s="253"/>
      <c r="BP171" s="253"/>
      <c r="BQ171" s="253"/>
      <c r="BR171" s="253"/>
      <c r="BS171" s="253"/>
      <c r="BT171" s="253"/>
      <c r="BU171" s="253"/>
      <c r="BV171" s="253"/>
      <c r="BW171" s="253"/>
      <c r="BX171" s="253"/>
      <c r="BY171" s="253"/>
      <c r="BZ171" s="253"/>
      <c r="CA171" s="253"/>
      <c r="CB171" s="253"/>
      <c r="CC171" s="253"/>
      <c r="CD171" s="253"/>
      <c r="CE171" s="253"/>
      <c r="CF171" s="253"/>
      <c r="CG171" s="253"/>
      <c r="CH171" s="253"/>
      <c r="CI171" s="253"/>
      <c r="CJ171" s="253"/>
      <c r="CK171" s="253"/>
      <c r="CL171" s="253"/>
      <c r="CM171" s="253"/>
      <c r="CN171" s="253"/>
      <c r="CO171" s="253"/>
      <c r="CP171" s="253"/>
      <c r="CQ171" s="253"/>
    </row>
    <row r="172" spans="1:95" s="203" customFormat="1" ht="31.5">
      <c r="A172" s="241">
        <f t="shared" si="43"/>
        <v>8</v>
      </c>
      <c r="B172" s="179" t="s">
        <v>177</v>
      </c>
      <c r="C172" s="180" t="s">
        <v>36</v>
      </c>
      <c r="D172" s="181" t="s">
        <v>264</v>
      </c>
      <c r="E172" s="180">
        <v>2015</v>
      </c>
      <c r="F172" s="181">
        <v>2015</v>
      </c>
      <c r="G172" s="379">
        <f>1.65526*1.18</f>
        <v>1.9532067999999998</v>
      </c>
      <c r="H172" s="183"/>
      <c r="I172" s="182"/>
      <c r="J172" s="368"/>
      <c r="K172" s="193" t="str">
        <f>D172</f>
        <v>(КСО-5 шт., ЩО70-3 шт.)</v>
      </c>
      <c r="L172" s="192"/>
      <c r="M172" s="192"/>
      <c r="N172" s="192"/>
      <c r="O172" s="298" t="str">
        <f>D172</f>
        <v>(КСО-5 шт., ЩО70-3 шт.)</v>
      </c>
      <c r="P172" s="301"/>
      <c r="Q172" s="349"/>
      <c r="R172" s="184">
        <f>G172</f>
        <v>1.9532067999999998</v>
      </c>
      <c r="S172" s="184"/>
      <c r="T172" s="191"/>
      <c r="U172" s="191"/>
      <c r="V172" s="194">
        <f>SUM(P172:S172)</f>
        <v>1.9532067999999998</v>
      </c>
      <c r="W172" s="195"/>
      <c r="X172" s="185"/>
      <c r="Y172" s="185"/>
      <c r="Z172" s="185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186"/>
      <c r="CO172" s="186"/>
      <c r="CP172" s="186"/>
      <c r="CQ172" s="186"/>
    </row>
    <row r="173" spans="1:95" s="203" customFormat="1" ht="31.5">
      <c r="A173" s="241">
        <f t="shared" si="43"/>
        <v>9</v>
      </c>
      <c r="B173" s="179" t="s">
        <v>335</v>
      </c>
      <c r="C173" s="180" t="s">
        <v>59</v>
      </c>
      <c r="D173" s="181" t="s">
        <v>269</v>
      </c>
      <c r="E173" s="180">
        <v>2015</v>
      </c>
      <c r="F173" s="181">
        <v>2015</v>
      </c>
      <c r="G173" s="379">
        <f>0.095*1.18</f>
        <v>0.11209999999999999</v>
      </c>
      <c r="H173" s="183"/>
      <c r="I173" s="182"/>
      <c r="J173" s="368"/>
      <c r="K173" s="193" t="str">
        <f aca="true" t="shared" si="45" ref="K173:K185">D173</f>
        <v>(КСО-14 шт., ЩО70-11 шт.)</v>
      </c>
      <c r="L173" s="192"/>
      <c r="M173" s="192"/>
      <c r="N173" s="192"/>
      <c r="O173" s="298" t="str">
        <f aca="true" t="shared" si="46" ref="O173:O185">D173</f>
        <v>(КСО-14 шт., ЩО70-11 шт.)</v>
      </c>
      <c r="P173" s="301"/>
      <c r="Q173" s="349"/>
      <c r="R173" s="184">
        <f aca="true" t="shared" si="47" ref="R173:R185">G173</f>
        <v>0.11209999999999999</v>
      </c>
      <c r="S173" s="184"/>
      <c r="T173" s="191"/>
      <c r="U173" s="191"/>
      <c r="V173" s="194">
        <f t="shared" si="44"/>
        <v>0.11209999999999999</v>
      </c>
      <c r="W173" s="195"/>
      <c r="X173" s="185"/>
      <c r="Y173" s="185"/>
      <c r="Z173" s="185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186"/>
      <c r="CO173" s="186"/>
      <c r="CP173" s="186"/>
      <c r="CQ173" s="186"/>
    </row>
    <row r="174" spans="1:95" s="163" customFormat="1" ht="31.5">
      <c r="A174" s="241">
        <f t="shared" si="43"/>
        <v>10</v>
      </c>
      <c r="B174" s="238" t="s">
        <v>335</v>
      </c>
      <c r="C174" s="121" t="s">
        <v>36</v>
      </c>
      <c r="D174" s="58" t="s">
        <v>269</v>
      </c>
      <c r="E174" s="121">
        <v>2016</v>
      </c>
      <c r="F174" s="58">
        <v>2016</v>
      </c>
      <c r="G174" s="352">
        <f>2.75795*1.18</f>
        <v>3.254381</v>
      </c>
      <c r="H174" s="49"/>
      <c r="I174" s="122"/>
      <c r="J174" s="86"/>
      <c r="K174" s="60"/>
      <c r="L174" s="50" t="str">
        <f>D174</f>
        <v>(КСО-14 шт., ЩО70-11 шт.)</v>
      </c>
      <c r="M174" s="59"/>
      <c r="N174" s="59"/>
      <c r="O174" s="60" t="str">
        <f>D174</f>
        <v>(КСО-14 шт., ЩО70-11 шт.)</v>
      </c>
      <c r="P174" s="302"/>
      <c r="Q174" s="137"/>
      <c r="R174" s="59"/>
      <c r="S174" s="150">
        <f>G174</f>
        <v>3.254381</v>
      </c>
      <c r="T174" s="17"/>
      <c r="U174" s="17"/>
      <c r="V174" s="131">
        <f>SUM(P174:T174)</f>
        <v>3.254381</v>
      </c>
      <c r="W174" s="62"/>
      <c r="X174" s="63"/>
      <c r="Y174" s="63"/>
      <c r="Z174" s="6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</row>
    <row r="175" spans="1:95" s="203" customFormat="1" ht="31.5">
      <c r="A175" s="241">
        <f t="shared" si="43"/>
        <v>11</v>
      </c>
      <c r="B175" s="179" t="s">
        <v>336</v>
      </c>
      <c r="C175" s="180" t="s">
        <v>59</v>
      </c>
      <c r="D175" s="181" t="s">
        <v>270</v>
      </c>
      <c r="E175" s="180">
        <v>2015</v>
      </c>
      <c r="F175" s="181">
        <v>2015</v>
      </c>
      <c r="G175" s="379">
        <f aca="true" t="shared" si="48" ref="G175:G185">0.15*1.18</f>
        <v>0.177</v>
      </c>
      <c r="H175" s="183"/>
      <c r="I175" s="182"/>
      <c r="J175" s="368"/>
      <c r="K175" s="193" t="str">
        <f t="shared" si="45"/>
        <v>(КСО-4 шт., ЩО70-2 шт.)</v>
      </c>
      <c r="L175" s="192"/>
      <c r="M175" s="192"/>
      <c r="N175" s="192"/>
      <c r="O175" s="298" t="str">
        <f t="shared" si="46"/>
        <v>(КСО-4 шт., ЩО70-2 шт.)</v>
      </c>
      <c r="P175" s="301"/>
      <c r="Q175" s="349"/>
      <c r="R175" s="184">
        <f t="shared" si="47"/>
        <v>0.177</v>
      </c>
      <c r="S175" s="184"/>
      <c r="T175" s="191"/>
      <c r="U175" s="191"/>
      <c r="V175" s="194">
        <f t="shared" si="44"/>
        <v>0.177</v>
      </c>
      <c r="W175" s="195"/>
      <c r="X175" s="185"/>
      <c r="Y175" s="185"/>
      <c r="Z175" s="185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</row>
    <row r="176" spans="1:95" s="163" customFormat="1" ht="31.5">
      <c r="A176" s="241">
        <f t="shared" si="43"/>
        <v>12</v>
      </c>
      <c r="B176" s="238" t="s">
        <v>336</v>
      </c>
      <c r="C176" s="121" t="s">
        <v>36</v>
      </c>
      <c r="D176" s="58" t="s">
        <v>270</v>
      </c>
      <c r="E176" s="121">
        <v>2016</v>
      </c>
      <c r="F176" s="58">
        <v>2016</v>
      </c>
      <c r="G176" s="352">
        <f>1.30527*1.18</f>
        <v>1.5402185999999998</v>
      </c>
      <c r="H176" s="49"/>
      <c r="I176" s="122"/>
      <c r="J176" s="86"/>
      <c r="K176" s="60"/>
      <c r="L176" s="50" t="str">
        <f>D176</f>
        <v>(КСО-4 шт., ЩО70-2 шт.)</v>
      </c>
      <c r="M176" s="59"/>
      <c r="N176" s="59"/>
      <c r="O176" s="60" t="str">
        <f>D176</f>
        <v>(КСО-4 шт., ЩО70-2 шт.)</v>
      </c>
      <c r="P176" s="302"/>
      <c r="Q176" s="137"/>
      <c r="R176" s="59"/>
      <c r="S176" s="150">
        <f>G176</f>
        <v>1.5402185999999998</v>
      </c>
      <c r="T176" s="17"/>
      <c r="U176" s="17"/>
      <c r="V176" s="131">
        <f>SUM(P176:T176)</f>
        <v>1.5402185999999998</v>
      </c>
      <c r="W176" s="62"/>
      <c r="X176" s="63"/>
      <c r="Y176" s="63"/>
      <c r="Z176" s="6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</row>
    <row r="177" spans="1:95" s="203" customFormat="1" ht="31.5">
      <c r="A177" s="241">
        <f t="shared" si="43"/>
        <v>13</v>
      </c>
      <c r="B177" s="179" t="s">
        <v>337</v>
      </c>
      <c r="C177" s="180" t="s">
        <v>59</v>
      </c>
      <c r="D177" s="181" t="s">
        <v>264</v>
      </c>
      <c r="E177" s="180">
        <v>2015</v>
      </c>
      <c r="F177" s="181">
        <v>2015</v>
      </c>
      <c r="G177" s="379">
        <f t="shared" si="48"/>
        <v>0.177</v>
      </c>
      <c r="H177" s="183"/>
      <c r="I177" s="182"/>
      <c r="J177" s="368"/>
      <c r="K177" s="193" t="str">
        <f t="shared" si="45"/>
        <v>(КСО-5 шт., ЩО70-3 шт.)</v>
      </c>
      <c r="L177" s="192"/>
      <c r="M177" s="192"/>
      <c r="N177" s="192"/>
      <c r="O177" s="298" t="str">
        <f t="shared" si="46"/>
        <v>(КСО-5 шт., ЩО70-3 шт.)</v>
      </c>
      <c r="P177" s="301"/>
      <c r="Q177" s="349"/>
      <c r="R177" s="184">
        <f t="shared" si="47"/>
        <v>0.177</v>
      </c>
      <c r="S177" s="184"/>
      <c r="T177" s="191"/>
      <c r="U177" s="191"/>
      <c r="V177" s="194">
        <f t="shared" si="44"/>
        <v>0.177</v>
      </c>
      <c r="W177" s="195"/>
      <c r="X177" s="185"/>
      <c r="Y177" s="185"/>
      <c r="Z177" s="185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186"/>
      <c r="CI177" s="186"/>
      <c r="CJ177" s="186"/>
      <c r="CK177" s="186"/>
      <c r="CL177" s="186"/>
      <c r="CM177" s="186"/>
      <c r="CN177" s="186"/>
      <c r="CO177" s="186"/>
      <c r="CP177" s="186"/>
      <c r="CQ177" s="186"/>
    </row>
    <row r="178" spans="1:95" s="163" customFormat="1" ht="31.5">
      <c r="A178" s="241">
        <f t="shared" si="43"/>
        <v>14</v>
      </c>
      <c r="B178" s="238" t="s">
        <v>337</v>
      </c>
      <c r="C178" s="121" t="s">
        <v>36</v>
      </c>
      <c r="D178" s="58" t="s">
        <v>264</v>
      </c>
      <c r="E178" s="121">
        <v>2016</v>
      </c>
      <c r="F178" s="58">
        <v>2016</v>
      </c>
      <c r="G178" s="352">
        <f>1.65531*1.18</f>
        <v>1.9532658</v>
      </c>
      <c r="H178" s="49"/>
      <c r="I178" s="122"/>
      <c r="J178" s="86"/>
      <c r="K178" s="60"/>
      <c r="L178" s="50" t="str">
        <f>D178</f>
        <v>(КСО-5 шт., ЩО70-3 шт.)</v>
      </c>
      <c r="M178" s="59"/>
      <c r="N178" s="59"/>
      <c r="O178" s="60" t="str">
        <f>D178</f>
        <v>(КСО-5 шт., ЩО70-3 шт.)</v>
      </c>
      <c r="P178" s="302"/>
      <c r="Q178" s="137"/>
      <c r="R178" s="59"/>
      <c r="S178" s="150">
        <f>G178</f>
        <v>1.9532658</v>
      </c>
      <c r="T178" s="17"/>
      <c r="U178" s="17"/>
      <c r="V178" s="131">
        <f>SUM(P178:T178)</f>
        <v>1.9532658</v>
      </c>
      <c r="W178" s="62"/>
      <c r="X178" s="63"/>
      <c r="Y178" s="63"/>
      <c r="Z178" s="6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</row>
    <row r="179" spans="1:95" s="203" customFormat="1" ht="31.5">
      <c r="A179" s="241">
        <f t="shared" si="43"/>
        <v>15</v>
      </c>
      <c r="B179" s="179" t="s">
        <v>338</v>
      </c>
      <c r="C179" s="180" t="s">
        <v>59</v>
      </c>
      <c r="D179" s="181" t="s">
        <v>271</v>
      </c>
      <c r="E179" s="180">
        <v>2015</v>
      </c>
      <c r="F179" s="181">
        <v>2015</v>
      </c>
      <c r="G179" s="379">
        <f t="shared" si="48"/>
        <v>0.177</v>
      </c>
      <c r="H179" s="183"/>
      <c r="I179" s="182"/>
      <c r="J179" s="368"/>
      <c r="K179" s="193" t="str">
        <f t="shared" si="45"/>
        <v>(КСО-4 шт., ЩО70-3 шт.)</v>
      </c>
      <c r="L179" s="192"/>
      <c r="M179" s="192"/>
      <c r="N179" s="192"/>
      <c r="O179" s="298" t="str">
        <f t="shared" si="46"/>
        <v>(КСО-4 шт., ЩО70-3 шт.)</v>
      </c>
      <c r="P179" s="301"/>
      <c r="Q179" s="349"/>
      <c r="R179" s="184">
        <f t="shared" si="47"/>
        <v>0.177</v>
      </c>
      <c r="S179" s="184"/>
      <c r="T179" s="191"/>
      <c r="U179" s="191"/>
      <c r="V179" s="194">
        <f t="shared" si="44"/>
        <v>0.177</v>
      </c>
      <c r="W179" s="195"/>
      <c r="X179" s="185"/>
      <c r="Y179" s="185"/>
      <c r="Z179" s="185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  <c r="CO179" s="186"/>
      <c r="CP179" s="186"/>
      <c r="CQ179" s="186"/>
    </row>
    <row r="180" spans="1:95" s="163" customFormat="1" ht="31.5">
      <c r="A180" s="241">
        <f t="shared" si="43"/>
        <v>16</v>
      </c>
      <c r="B180" s="238" t="s">
        <v>338</v>
      </c>
      <c r="C180" s="121" t="s">
        <v>36</v>
      </c>
      <c r="D180" s="58" t="s">
        <v>271</v>
      </c>
      <c r="E180" s="121">
        <v>2016</v>
      </c>
      <c r="F180" s="58">
        <v>2016</v>
      </c>
      <c r="G180" s="352">
        <f>1.35226*1.18</f>
        <v>1.5956667999999998</v>
      </c>
      <c r="H180" s="49"/>
      <c r="I180" s="122"/>
      <c r="J180" s="86"/>
      <c r="K180" s="60"/>
      <c r="L180" s="50" t="str">
        <f>D180</f>
        <v>(КСО-4 шт., ЩО70-3 шт.)</v>
      </c>
      <c r="M180" s="59"/>
      <c r="N180" s="59"/>
      <c r="O180" s="60" t="str">
        <f>D180</f>
        <v>(КСО-4 шт., ЩО70-3 шт.)</v>
      </c>
      <c r="P180" s="302"/>
      <c r="Q180" s="137"/>
      <c r="R180" s="59"/>
      <c r="S180" s="150">
        <f>G180</f>
        <v>1.5956667999999998</v>
      </c>
      <c r="T180" s="17"/>
      <c r="U180" s="17"/>
      <c r="V180" s="131">
        <f>SUM(P180:T180)</f>
        <v>1.5956667999999998</v>
      </c>
      <c r="W180" s="62"/>
      <c r="X180" s="63"/>
      <c r="Y180" s="63"/>
      <c r="Z180" s="6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</row>
    <row r="181" spans="1:95" s="203" customFormat="1" ht="31.5">
      <c r="A181" s="241">
        <f t="shared" si="43"/>
        <v>17</v>
      </c>
      <c r="B181" s="179" t="s">
        <v>339</v>
      </c>
      <c r="C181" s="180" t="s">
        <v>59</v>
      </c>
      <c r="D181" s="181" t="s">
        <v>272</v>
      </c>
      <c r="E181" s="180">
        <v>2015</v>
      </c>
      <c r="F181" s="181">
        <v>2015</v>
      </c>
      <c r="G181" s="379">
        <f t="shared" si="48"/>
        <v>0.177</v>
      </c>
      <c r="H181" s="183"/>
      <c r="I181" s="182"/>
      <c r="J181" s="368"/>
      <c r="K181" s="193" t="str">
        <f t="shared" si="45"/>
        <v>(КСО-3 шт., ЩО70-2 шт.)</v>
      </c>
      <c r="L181" s="192"/>
      <c r="M181" s="192"/>
      <c r="N181" s="192"/>
      <c r="O181" s="298" t="str">
        <f t="shared" si="46"/>
        <v>(КСО-3 шт., ЩО70-2 шт.)</v>
      </c>
      <c r="P181" s="301"/>
      <c r="Q181" s="349"/>
      <c r="R181" s="184">
        <f t="shared" si="47"/>
        <v>0.177</v>
      </c>
      <c r="S181" s="184"/>
      <c r="T181" s="191"/>
      <c r="U181" s="191"/>
      <c r="V181" s="194">
        <f t="shared" si="44"/>
        <v>0.177</v>
      </c>
      <c r="W181" s="195"/>
      <c r="X181" s="185"/>
      <c r="Y181" s="185"/>
      <c r="Z181" s="185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  <c r="CO181" s="186"/>
      <c r="CP181" s="186"/>
      <c r="CQ181" s="186"/>
    </row>
    <row r="182" spans="1:95" s="163" customFormat="1" ht="31.5">
      <c r="A182" s="241">
        <f t="shared" si="43"/>
        <v>18</v>
      </c>
      <c r="B182" s="238" t="s">
        <v>339</v>
      </c>
      <c r="C182" s="121" t="s">
        <v>36</v>
      </c>
      <c r="D182" s="58" t="s">
        <v>272</v>
      </c>
      <c r="E182" s="121">
        <v>2016</v>
      </c>
      <c r="F182" s="58">
        <v>2016</v>
      </c>
      <c r="G182" s="352">
        <f>1.0026*1.18</f>
        <v>1.1830679999999998</v>
      </c>
      <c r="H182" s="49"/>
      <c r="I182" s="122"/>
      <c r="J182" s="86"/>
      <c r="K182" s="60"/>
      <c r="L182" s="50" t="str">
        <f>D182</f>
        <v>(КСО-3 шт., ЩО70-2 шт.)</v>
      </c>
      <c r="M182" s="59"/>
      <c r="N182" s="59"/>
      <c r="O182" s="60" t="str">
        <f>D182</f>
        <v>(КСО-3 шт., ЩО70-2 шт.)</v>
      </c>
      <c r="P182" s="302"/>
      <c r="Q182" s="137"/>
      <c r="R182" s="59"/>
      <c r="S182" s="150">
        <f>G182</f>
        <v>1.1830679999999998</v>
      </c>
      <c r="T182" s="17"/>
      <c r="U182" s="17"/>
      <c r="V182" s="131">
        <f>SUM(P182:T182)</f>
        <v>1.1830679999999998</v>
      </c>
      <c r="W182" s="62"/>
      <c r="X182" s="63"/>
      <c r="Y182" s="63"/>
      <c r="Z182" s="6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</row>
    <row r="183" spans="1:95" s="203" customFormat="1" ht="31.5">
      <c r="A183" s="241">
        <f t="shared" si="43"/>
        <v>19</v>
      </c>
      <c r="B183" s="179" t="s">
        <v>300</v>
      </c>
      <c r="C183" s="180" t="s">
        <v>59</v>
      </c>
      <c r="D183" s="181" t="s">
        <v>273</v>
      </c>
      <c r="E183" s="180">
        <v>2015</v>
      </c>
      <c r="F183" s="181">
        <v>2015</v>
      </c>
      <c r="G183" s="379">
        <f t="shared" si="48"/>
        <v>0.177</v>
      </c>
      <c r="H183" s="183"/>
      <c r="I183" s="182"/>
      <c r="J183" s="368"/>
      <c r="K183" s="193" t="str">
        <f t="shared" si="45"/>
        <v>(КСО-5 шт., ЩО70-4 шт.)</v>
      </c>
      <c r="L183" s="192"/>
      <c r="M183" s="192"/>
      <c r="N183" s="192"/>
      <c r="O183" s="298" t="str">
        <f t="shared" si="46"/>
        <v>(КСО-5 шт., ЩО70-4 шт.)</v>
      </c>
      <c r="P183" s="301"/>
      <c r="Q183" s="349"/>
      <c r="R183" s="184">
        <f t="shared" si="47"/>
        <v>0.177</v>
      </c>
      <c r="S183" s="184"/>
      <c r="T183" s="191"/>
      <c r="U183" s="191"/>
      <c r="V183" s="194">
        <f t="shared" si="44"/>
        <v>0.177</v>
      </c>
      <c r="W183" s="195"/>
      <c r="X183" s="185"/>
      <c r="Y183" s="185"/>
      <c r="Z183" s="185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  <c r="CO183" s="186"/>
      <c r="CP183" s="186"/>
      <c r="CQ183" s="186"/>
    </row>
    <row r="184" spans="1:95" s="163" customFormat="1" ht="31.5">
      <c r="A184" s="241">
        <f t="shared" si="43"/>
        <v>20</v>
      </c>
      <c r="B184" s="238" t="s">
        <v>300</v>
      </c>
      <c r="C184" s="121" t="s">
        <v>36</v>
      </c>
      <c r="D184" s="58" t="s">
        <v>273</v>
      </c>
      <c r="E184" s="121">
        <v>2016</v>
      </c>
      <c r="F184" s="58">
        <v>2016</v>
      </c>
      <c r="G184" s="352">
        <f>1.70239*1.18</f>
        <v>2.0088202</v>
      </c>
      <c r="H184" s="49"/>
      <c r="I184" s="122"/>
      <c r="J184" s="86"/>
      <c r="K184" s="60"/>
      <c r="L184" s="50" t="str">
        <f>D184</f>
        <v>(КСО-5 шт., ЩО70-4 шт.)</v>
      </c>
      <c r="M184" s="59"/>
      <c r="N184" s="59"/>
      <c r="O184" s="60" t="str">
        <f>D184</f>
        <v>(КСО-5 шт., ЩО70-4 шт.)</v>
      </c>
      <c r="P184" s="302"/>
      <c r="Q184" s="137"/>
      <c r="R184" s="59"/>
      <c r="S184" s="150">
        <f>G184</f>
        <v>2.0088202</v>
      </c>
      <c r="T184" s="17"/>
      <c r="U184" s="17"/>
      <c r="V184" s="131">
        <f>SUM(P184:T184)</f>
        <v>2.0088202</v>
      </c>
      <c r="W184" s="62"/>
      <c r="X184" s="63"/>
      <c r="Y184" s="63"/>
      <c r="Z184" s="6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</row>
    <row r="185" spans="1:95" s="203" customFormat="1" ht="31.5">
      <c r="A185" s="241">
        <f t="shared" si="43"/>
        <v>21</v>
      </c>
      <c r="B185" s="179" t="s">
        <v>287</v>
      </c>
      <c r="C185" s="180" t="s">
        <v>36</v>
      </c>
      <c r="D185" s="181" t="s">
        <v>264</v>
      </c>
      <c r="E185" s="180">
        <v>2015</v>
      </c>
      <c r="F185" s="181">
        <v>2015</v>
      </c>
      <c r="G185" s="379">
        <f t="shared" si="48"/>
        <v>0.177</v>
      </c>
      <c r="H185" s="183"/>
      <c r="I185" s="182"/>
      <c r="J185" s="368"/>
      <c r="K185" s="193" t="str">
        <f t="shared" si="45"/>
        <v>(КСО-5 шт., ЩО70-3 шт.)</v>
      </c>
      <c r="L185" s="192"/>
      <c r="M185" s="192"/>
      <c r="N185" s="192"/>
      <c r="O185" s="298" t="str">
        <f t="shared" si="46"/>
        <v>(КСО-5 шт., ЩО70-3 шт.)</v>
      </c>
      <c r="P185" s="301"/>
      <c r="Q185" s="349"/>
      <c r="R185" s="184">
        <f t="shared" si="47"/>
        <v>0.177</v>
      </c>
      <c r="S185" s="184"/>
      <c r="T185" s="191"/>
      <c r="U185" s="191"/>
      <c r="V185" s="194">
        <f t="shared" si="44"/>
        <v>0.177</v>
      </c>
      <c r="W185" s="195"/>
      <c r="X185" s="185"/>
      <c r="Y185" s="185"/>
      <c r="Z185" s="185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  <c r="CO185" s="186"/>
      <c r="CP185" s="186"/>
      <c r="CQ185" s="186"/>
    </row>
    <row r="186" spans="1:95" s="163" customFormat="1" ht="31.5">
      <c r="A186" s="241">
        <f t="shared" si="43"/>
        <v>22</v>
      </c>
      <c r="B186" s="238" t="s">
        <v>287</v>
      </c>
      <c r="C186" s="121" t="s">
        <v>36</v>
      </c>
      <c r="D186" s="58" t="s">
        <v>264</v>
      </c>
      <c r="E186" s="121">
        <v>2016</v>
      </c>
      <c r="F186" s="58">
        <v>2016</v>
      </c>
      <c r="G186" s="352">
        <f>1.65531*1.18</f>
        <v>1.9532658</v>
      </c>
      <c r="H186" s="49"/>
      <c r="I186" s="122"/>
      <c r="J186" s="86"/>
      <c r="K186" s="60"/>
      <c r="L186" s="50" t="str">
        <f>D186</f>
        <v>(КСО-5 шт., ЩО70-3 шт.)</v>
      </c>
      <c r="M186" s="59"/>
      <c r="N186" s="59"/>
      <c r="O186" s="60" t="str">
        <f>D186</f>
        <v>(КСО-5 шт., ЩО70-3 шт.)</v>
      </c>
      <c r="P186" s="302"/>
      <c r="Q186" s="137"/>
      <c r="R186" s="59"/>
      <c r="S186" s="150">
        <f>G186</f>
        <v>1.9532658</v>
      </c>
      <c r="T186" s="17"/>
      <c r="U186" s="17"/>
      <c r="V186" s="131">
        <f>SUM(P186:T186)</f>
        <v>1.9532658</v>
      </c>
      <c r="W186" s="62"/>
      <c r="X186" s="63"/>
      <c r="Y186" s="63"/>
      <c r="Z186" s="6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</row>
    <row r="187" spans="1:95" s="163" customFormat="1" ht="31.5">
      <c r="A187" s="241">
        <f t="shared" si="43"/>
        <v>23</v>
      </c>
      <c r="B187" s="238" t="s">
        <v>283</v>
      </c>
      <c r="C187" s="121" t="s">
        <v>59</v>
      </c>
      <c r="D187" s="58" t="s">
        <v>273</v>
      </c>
      <c r="E187" s="121">
        <v>2016</v>
      </c>
      <c r="F187" s="58">
        <v>2016</v>
      </c>
      <c r="G187" s="352">
        <f>0.15*1.18</f>
        <v>0.177</v>
      </c>
      <c r="H187" s="49"/>
      <c r="I187" s="122"/>
      <c r="J187" s="86"/>
      <c r="K187" s="60"/>
      <c r="L187" s="50" t="str">
        <f>D187</f>
        <v>(КСО-5 шт., ЩО70-4 шт.)</v>
      </c>
      <c r="M187" s="59"/>
      <c r="N187" s="59"/>
      <c r="O187" s="60" t="str">
        <f>D187</f>
        <v>(КСО-5 шт., ЩО70-4 шт.)</v>
      </c>
      <c r="P187" s="302"/>
      <c r="Q187" s="137"/>
      <c r="R187" s="59"/>
      <c r="S187" s="150">
        <f>G187</f>
        <v>0.177</v>
      </c>
      <c r="T187" s="17"/>
      <c r="U187" s="17"/>
      <c r="V187" s="131">
        <f>SUM(P187:T187)</f>
        <v>0.177</v>
      </c>
      <c r="W187" s="62"/>
      <c r="X187" s="63"/>
      <c r="Y187" s="63"/>
      <c r="Z187" s="6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</row>
    <row r="188" spans="1:95" s="224" customFormat="1" ht="31.5">
      <c r="A188" s="241">
        <f t="shared" si="43"/>
        <v>24</v>
      </c>
      <c r="B188" s="304" t="s">
        <v>283</v>
      </c>
      <c r="C188" s="215" t="s">
        <v>36</v>
      </c>
      <c r="D188" s="214" t="s">
        <v>273</v>
      </c>
      <c r="E188" s="215">
        <v>2017</v>
      </c>
      <c r="F188" s="214">
        <v>2017</v>
      </c>
      <c r="G188" s="375">
        <f>1.70234*1.18</f>
        <v>2.0087612</v>
      </c>
      <c r="H188" s="218"/>
      <c r="I188" s="217"/>
      <c r="J188" s="361"/>
      <c r="K188" s="219"/>
      <c r="L188" s="220"/>
      <c r="M188" s="214" t="str">
        <f>D188</f>
        <v>(КСО-5 шт., ЩО70-4 шт.)</v>
      </c>
      <c r="N188" s="221"/>
      <c r="O188" s="214" t="str">
        <f>M188</f>
        <v>(КСО-5 шт., ЩО70-4 шт.)</v>
      </c>
      <c r="P188" s="335"/>
      <c r="Q188" s="223"/>
      <c r="R188" s="221"/>
      <c r="S188" s="225"/>
      <c r="T188" s="212">
        <f>G188</f>
        <v>2.0087612</v>
      </c>
      <c r="U188" s="212"/>
      <c r="V188" s="307">
        <f>T188</f>
        <v>2.0087612</v>
      </c>
      <c r="W188" s="213"/>
      <c r="X188" s="72"/>
      <c r="Y188" s="72"/>
      <c r="Z188" s="72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</row>
    <row r="189" spans="1:95" s="163" customFormat="1" ht="31.5">
      <c r="A189" s="241">
        <f t="shared" si="43"/>
        <v>25</v>
      </c>
      <c r="B189" s="238" t="s">
        <v>284</v>
      </c>
      <c r="C189" s="121" t="s">
        <v>59</v>
      </c>
      <c r="D189" s="58" t="s">
        <v>285</v>
      </c>
      <c r="E189" s="121">
        <v>2016</v>
      </c>
      <c r="F189" s="58">
        <v>2016</v>
      </c>
      <c r="G189" s="352">
        <f>0.15*1.18</f>
        <v>0.177</v>
      </c>
      <c r="H189" s="49"/>
      <c r="I189" s="122"/>
      <c r="J189" s="86"/>
      <c r="K189" s="60"/>
      <c r="L189" s="50" t="str">
        <f>D189</f>
        <v>(КСО-4 шт., ЩО70-4 шт.)</v>
      </c>
      <c r="M189" s="59"/>
      <c r="N189" s="59"/>
      <c r="O189" s="60" t="str">
        <f>D189</f>
        <v>(КСО-4 шт., ЩО70-4 шт.)</v>
      </c>
      <c r="P189" s="302"/>
      <c r="Q189" s="137"/>
      <c r="R189" s="59"/>
      <c r="S189" s="150">
        <f>G189</f>
        <v>0.177</v>
      </c>
      <c r="T189" s="17"/>
      <c r="U189" s="17"/>
      <c r="V189" s="131">
        <f>SUM(P189:T189)</f>
        <v>0.177</v>
      </c>
      <c r="W189" s="62"/>
      <c r="X189" s="63"/>
      <c r="Y189" s="63"/>
      <c r="Z189" s="6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</row>
    <row r="190" spans="1:95" s="224" customFormat="1" ht="31.5">
      <c r="A190" s="241">
        <f t="shared" si="43"/>
        <v>26</v>
      </c>
      <c r="B190" s="304" t="s">
        <v>284</v>
      </c>
      <c r="C190" s="215" t="s">
        <v>36</v>
      </c>
      <c r="D190" s="214" t="s">
        <v>285</v>
      </c>
      <c r="E190" s="215">
        <v>2017</v>
      </c>
      <c r="F190" s="214">
        <v>2017</v>
      </c>
      <c r="G190" s="375">
        <f>1.39958*1.18</f>
        <v>1.6515043999999999</v>
      </c>
      <c r="H190" s="218"/>
      <c r="I190" s="217"/>
      <c r="J190" s="361"/>
      <c r="K190" s="219"/>
      <c r="L190" s="220"/>
      <c r="M190" s="214" t="str">
        <f>D190</f>
        <v>(КСО-4 шт., ЩО70-4 шт.)</v>
      </c>
      <c r="N190" s="221"/>
      <c r="O190" s="214" t="str">
        <f>M190</f>
        <v>(КСО-4 шт., ЩО70-4 шт.)</v>
      </c>
      <c r="P190" s="335"/>
      <c r="Q190" s="223"/>
      <c r="R190" s="221"/>
      <c r="S190" s="225"/>
      <c r="T190" s="212">
        <f>G190</f>
        <v>1.6515043999999999</v>
      </c>
      <c r="U190" s="212"/>
      <c r="V190" s="307">
        <f>T190</f>
        <v>1.6515043999999999</v>
      </c>
      <c r="W190" s="213"/>
      <c r="X190" s="72"/>
      <c r="Y190" s="72"/>
      <c r="Z190" s="72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</row>
    <row r="191" spans="1:95" s="163" customFormat="1" ht="31.5">
      <c r="A191" s="241">
        <f t="shared" si="43"/>
        <v>27</v>
      </c>
      <c r="B191" s="238" t="s">
        <v>286</v>
      </c>
      <c r="C191" s="121" t="s">
        <v>59</v>
      </c>
      <c r="D191" s="58" t="s">
        <v>271</v>
      </c>
      <c r="E191" s="121">
        <v>2016</v>
      </c>
      <c r="F191" s="58">
        <v>2016</v>
      </c>
      <c r="G191" s="352">
        <f>0.15*1.18</f>
        <v>0.177</v>
      </c>
      <c r="H191" s="49"/>
      <c r="I191" s="122"/>
      <c r="J191" s="86"/>
      <c r="K191" s="60"/>
      <c r="L191" s="50" t="str">
        <f>D191</f>
        <v>(КСО-4 шт., ЩО70-3 шт.)</v>
      </c>
      <c r="M191" s="214"/>
      <c r="N191" s="59"/>
      <c r="O191" s="60" t="str">
        <f>D191</f>
        <v>(КСО-4 шт., ЩО70-3 шт.)</v>
      </c>
      <c r="P191" s="302"/>
      <c r="Q191" s="137"/>
      <c r="R191" s="59"/>
      <c r="S191" s="150">
        <f>G191</f>
        <v>0.177</v>
      </c>
      <c r="T191" s="17"/>
      <c r="U191" s="17"/>
      <c r="V191" s="131">
        <f>SUM(P191:T191)</f>
        <v>0.177</v>
      </c>
      <c r="W191" s="62"/>
      <c r="X191" s="63"/>
      <c r="Y191" s="63"/>
      <c r="Z191" s="6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</row>
    <row r="192" spans="1:95" s="224" customFormat="1" ht="31.5">
      <c r="A192" s="241">
        <f t="shared" si="43"/>
        <v>28</v>
      </c>
      <c r="B192" s="304" t="s">
        <v>286</v>
      </c>
      <c r="C192" s="215" t="s">
        <v>36</v>
      </c>
      <c r="D192" s="214" t="s">
        <v>271</v>
      </c>
      <c r="E192" s="215">
        <v>2017</v>
      </c>
      <c r="F192" s="214">
        <v>2017</v>
      </c>
      <c r="G192" s="375">
        <f>1.35249*1.18</f>
        <v>1.5959382</v>
      </c>
      <c r="H192" s="218"/>
      <c r="I192" s="217"/>
      <c r="J192" s="361"/>
      <c r="K192" s="219"/>
      <c r="L192" s="220"/>
      <c r="M192" s="214" t="str">
        <f>D192</f>
        <v>(КСО-4 шт., ЩО70-3 шт.)</v>
      </c>
      <c r="N192" s="221"/>
      <c r="O192" s="214" t="str">
        <f>M192</f>
        <v>(КСО-4 шт., ЩО70-3 шт.)</v>
      </c>
      <c r="P192" s="335"/>
      <c r="Q192" s="223"/>
      <c r="R192" s="221"/>
      <c r="S192" s="225"/>
      <c r="T192" s="212">
        <f>G192</f>
        <v>1.5959382</v>
      </c>
      <c r="U192" s="212"/>
      <c r="V192" s="307">
        <f>T192</f>
        <v>1.5959382</v>
      </c>
      <c r="W192" s="213"/>
      <c r="X192" s="72"/>
      <c r="Y192" s="72"/>
      <c r="Z192" s="72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</row>
    <row r="193" spans="1:95" s="163" customFormat="1" ht="15.75">
      <c r="A193" s="241">
        <f t="shared" si="43"/>
        <v>29</v>
      </c>
      <c r="B193" s="238" t="s">
        <v>287</v>
      </c>
      <c r="C193" s="121" t="s">
        <v>59</v>
      </c>
      <c r="D193" s="58" t="s">
        <v>288</v>
      </c>
      <c r="E193" s="121">
        <v>2016</v>
      </c>
      <c r="F193" s="58">
        <v>2016</v>
      </c>
      <c r="G193" s="352">
        <f>0.15*1.18</f>
        <v>0.177</v>
      </c>
      <c r="H193" s="49"/>
      <c r="I193" s="122"/>
      <c r="J193" s="86"/>
      <c r="K193" s="60"/>
      <c r="L193" s="50" t="str">
        <f>D193</f>
        <v>(КСО-5 шт.)</v>
      </c>
      <c r="M193" s="214"/>
      <c r="N193" s="59"/>
      <c r="O193" s="60" t="str">
        <f>D193</f>
        <v>(КСО-5 шт.)</v>
      </c>
      <c r="P193" s="302"/>
      <c r="Q193" s="137"/>
      <c r="R193" s="59"/>
      <c r="S193" s="150">
        <f>G193</f>
        <v>0.177</v>
      </c>
      <c r="T193" s="17"/>
      <c r="U193" s="17"/>
      <c r="V193" s="131">
        <f>SUM(P193:T193)</f>
        <v>0.177</v>
      </c>
      <c r="W193" s="62"/>
      <c r="X193" s="63"/>
      <c r="Y193" s="63"/>
      <c r="Z193" s="6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</row>
    <row r="194" spans="1:95" s="224" customFormat="1" ht="15.75">
      <c r="A194" s="241">
        <f t="shared" si="43"/>
        <v>30</v>
      </c>
      <c r="B194" s="304" t="s">
        <v>287</v>
      </c>
      <c r="C194" s="215" t="s">
        <v>36</v>
      </c>
      <c r="D194" s="214" t="s">
        <v>288</v>
      </c>
      <c r="E194" s="215">
        <v>2017</v>
      </c>
      <c r="F194" s="214">
        <v>2017</v>
      </c>
      <c r="G194" s="375">
        <f>1.51405*1.18</f>
        <v>1.7865789999999997</v>
      </c>
      <c r="H194" s="218"/>
      <c r="I194" s="217"/>
      <c r="J194" s="361"/>
      <c r="K194" s="219"/>
      <c r="L194" s="220"/>
      <c r="M194" s="214" t="str">
        <f>D194</f>
        <v>(КСО-5 шт.)</v>
      </c>
      <c r="N194" s="221"/>
      <c r="O194" s="222" t="str">
        <f>M194</f>
        <v>(КСО-5 шт.)</v>
      </c>
      <c r="P194" s="335"/>
      <c r="Q194" s="223"/>
      <c r="R194" s="221"/>
      <c r="S194" s="225"/>
      <c r="T194" s="212">
        <f>G194</f>
        <v>1.7865789999999997</v>
      </c>
      <c r="U194" s="212"/>
      <c r="V194" s="307">
        <f>T194</f>
        <v>1.7865789999999997</v>
      </c>
      <c r="W194" s="213"/>
      <c r="X194" s="72"/>
      <c r="Y194" s="72"/>
      <c r="Z194" s="72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</row>
    <row r="195" spans="1:95" s="224" customFormat="1" ht="31.5">
      <c r="A195" s="241">
        <f t="shared" si="43"/>
        <v>31</v>
      </c>
      <c r="B195" s="304" t="s">
        <v>292</v>
      </c>
      <c r="C195" s="215" t="s">
        <v>36</v>
      </c>
      <c r="D195" s="216" t="s">
        <v>160</v>
      </c>
      <c r="E195" s="215">
        <v>2017</v>
      </c>
      <c r="F195" s="214">
        <v>2017</v>
      </c>
      <c r="G195" s="375">
        <f>0.22*1.18</f>
        <v>0.2596</v>
      </c>
      <c r="H195" s="218"/>
      <c r="I195" s="217"/>
      <c r="J195" s="361"/>
      <c r="K195" s="219"/>
      <c r="L195" s="220"/>
      <c r="M195" s="214" t="str">
        <f>D195</f>
        <v>0,25 мВА</v>
      </c>
      <c r="N195" s="221"/>
      <c r="O195" s="222" t="str">
        <f>M195</f>
        <v>0,25 мВА</v>
      </c>
      <c r="P195" s="335"/>
      <c r="Q195" s="223"/>
      <c r="R195" s="221"/>
      <c r="S195" s="225"/>
      <c r="T195" s="212">
        <f>G195</f>
        <v>0.2596</v>
      </c>
      <c r="U195" s="212"/>
      <c r="V195" s="307">
        <f>T195</f>
        <v>0.2596</v>
      </c>
      <c r="W195" s="213"/>
      <c r="X195" s="72"/>
      <c r="Y195" s="72"/>
      <c r="Z195" s="72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</row>
    <row r="196" spans="1:95" s="224" customFormat="1" ht="31.5">
      <c r="A196" s="241">
        <f t="shared" si="43"/>
        <v>32</v>
      </c>
      <c r="B196" s="304" t="s">
        <v>308</v>
      </c>
      <c r="C196" s="215" t="s">
        <v>59</v>
      </c>
      <c r="D196" s="214" t="s">
        <v>272</v>
      </c>
      <c r="E196" s="215">
        <v>2017</v>
      </c>
      <c r="F196" s="214">
        <v>2017</v>
      </c>
      <c r="G196" s="375">
        <f>0.15*1.18</f>
        <v>0.177</v>
      </c>
      <c r="H196" s="218"/>
      <c r="I196" s="217"/>
      <c r="J196" s="361"/>
      <c r="K196" s="219"/>
      <c r="L196" s="220"/>
      <c r="M196" s="214" t="str">
        <f>D196</f>
        <v>(КСО-3 шт., ЩО70-2 шт.)</v>
      </c>
      <c r="N196" s="221"/>
      <c r="O196" s="214" t="str">
        <f>M196</f>
        <v>(КСО-3 шт., ЩО70-2 шт.)</v>
      </c>
      <c r="P196" s="335"/>
      <c r="Q196" s="223"/>
      <c r="R196" s="221"/>
      <c r="S196" s="225"/>
      <c r="T196" s="212">
        <f>G196</f>
        <v>0.177</v>
      </c>
      <c r="U196" s="212"/>
      <c r="V196" s="307">
        <f>T196</f>
        <v>0.177</v>
      </c>
      <c r="W196" s="213"/>
      <c r="X196" s="72"/>
      <c r="Y196" s="72"/>
      <c r="Z196" s="72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</row>
    <row r="197" spans="1:95" s="236" customFormat="1" ht="31.5">
      <c r="A197" s="241">
        <f t="shared" si="43"/>
        <v>33</v>
      </c>
      <c r="B197" s="309" t="s">
        <v>308</v>
      </c>
      <c r="C197" s="226" t="s">
        <v>36</v>
      </c>
      <c r="D197" s="310" t="s">
        <v>272</v>
      </c>
      <c r="E197" s="226">
        <v>2018</v>
      </c>
      <c r="F197" s="310">
        <v>2018</v>
      </c>
      <c r="G197" s="376">
        <f>1.00247*1.18</f>
        <v>1.1829146</v>
      </c>
      <c r="H197" s="229"/>
      <c r="I197" s="228"/>
      <c r="J197" s="363"/>
      <c r="K197" s="230"/>
      <c r="L197" s="231"/>
      <c r="M197" s="232"/>
      <c r="N197" s="232" t="str">
        <f>D197</f>
        <v>(КСО-3 шт., ЩО70-2 шт.)</v>
      </c>
      <c r="O197" s="233" t="str">
        <f>D197</f>
        <v>(КСО-3 шт., ЩО70-2 шт.)</v>
      </c>
      <c r="P197" s="337"/>
      <c r="Q197" s="234"/>
      <c r="R197" s="232"/>
      <c r="S197" s="235"/>
      <c r="T197" s="206"/>
      <c r="U197" s="206">
        <f>G197</f>
        <v>1.1829146</v>
      </c>
      <c r="V197" s="308">
        <f>SUM(Q197:U197)</f>
        <v>1.1829146</v>
      </c>
      <c r="W197" s="207"/>
      <c r="X197" s="208"/>
      <c r="Y197" s="208"/>
      <c r="Z197" s="208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</row>
    <row r="198" spans="1:95" s="224" customFormat="1" ht="31.5">
      <c r="A198" s="241">
        <f t="shared" si="43"/>
        <v>34</v>
      </c>
      <c r="B198" s="304" t="s">
        <v>299</v>
      </c>
      <c r="C198" s="215" t="s">
        <v>59</v>
      </c>
      <c r="D198" s="214" t="s">
        <v>285</v>
      </c>
      <c r="E198" s="215">
        <v>2017</v>
      </c>
      <c r="F198" s="214">
        <v>2017</v>
      </c>
      <c r="G198" s="375">
        <f>0.15*1.18</f>
        <v>0.177</v>
      </c>
      <c r="H198" s="218"/>
      <c r="I198" s="217"/>
      <c r="J198" s="361"/>
      <c r="K198" s="219"/>
      <c r="L198" s="220"/>
      <c r="M198" s="214" t="str">
        <f>D198</f>
        <v>(КСО-4 шт., ЩО70-4 шт.)</v>
      </c>
      <c r="N198" s="221"/>
      <c r="O198" s="214" t="str">
        <f>M198</f>
        <v>(КСО-4 шт., ЩО70-4 шт.)</v>
      </c>
      <c r="P198" s="335"/>
      <c r="Q198" s="223"/>
      <c r="R198" s="221"/>
      <c r="S198" s="225"/>
      <c r="T198" s="212">
        <f>G198</f>
        <v>0.177</v>
      </c>
      <c r="U198" s="212"/>
      <c r="V198" s="307">
        <f>T198</f>
        <v>0.177</v>
      </c>
      <c r="W198" s="213"/>
      <c r="X198" s="72"/>
      <c r="Y198" s="72"/>
      <c r="Z198" s="72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</row>
    <row r="199" spans="1:95" s="236" customFormat="1" ht="31.5">
      <c r="A199" s="241">
        <f t="shared" si="43"/>
        <v>35</v>
      </c>
      <c r="B199" s="309" t="s">
        <v>299</v>
      </c>
      <c r="C199" s="226" t="s">
        <v>36</v>
      </c>
      <c r="D199" s="310" t="s">
        <v>285</v>
      </c>
      <c r="E199" s="226">
        <v>2018</v>
      </c>
      <c r="F199" s="310">
        <v>2018</v>
      </c>
      <c r="G199" s="376">
        <f>1.39932*1.18</f>
        <v>1.6511975999999997</v>
      </c>
      <c r="H199" s="229"/>
      <c r="I199" s="228"/>
      <c r="J199" s="363"/>
      <c r="K199" s="230"/>
      <c r="L199" s="231"/>
      <c r="M199" s="232"/>
      <c r="N199" s="232" t="str">
        <f>D199</f>
        <v>(КСО-4 шт., ЩО70-4 шт.)</v>
      </c>
      <c r="O199" s="233" t="str">
        <f>D199</f>
        <v>(КСО-4 шт., ЩО70-4 шт.)</v>
      </c>
      <c r="P199" s="337"/>
      <c r="Q199" s="234"/>
      <c r="R199" s="232"/>
      <c r="S199" s="235"/>
      <c r="T199" s="206"/>
      <c r="U199" s="206">
        <f>G199</f>
        <v>1.6511975999999997</v>
      </c>
      <c r="V199" s="308">
        <f>SUM(Q199:U199)</f>
        <v>1.6511975999999997</v>
      </c>
      <c r="W199" s="207"/>
      <c r="X199" s="208"/>
      <c r="Y199" s="208"/>
      <c r="Z199" s="208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</row>
    <row r="200" spans="1:95" s="224" customFormat="1" ht="31.5">
      <c r="A200" s="241">
        <f t="shared" si="43"/>
        <v>36</v>
      </c>
      <c r="B200" s="304" t="s">
        <v>300</v>
      </c>
      <c r="C200" s="215" t="s">
        <v>59</v>
      </c>
      <c r="D200" s="214" t="s">
        <v>273</v>
      </c>
      <c r="E200" s="215">
        <v>2017</v>
      </c>
      <c r="F200" s="214">
        <v>2017</v>
      </c>
      <c r="G200" s="375">
        <f>0.15*1.18</f>
        <v>0.177</v>
      </c>
      <c r="H200" s="218"/>
      <c r="I200" s="217"/>
      <c r="J200" s="361"/>
      <c r="K200" s="219"/>
      <c r="L200" s="220"/>
      <c r="M200" s="214" t="str">
        <f>D200</f>
        <v>(КСО-5 шт., ЩО70-4 шт.)</v>
      </c>
      <c r="N200" s="221"/>
      <c r="O200" s="214" t="str">
        <f>M200</f>
        <v>(КСО-5 шт., ЩО70-4 шт.)</v>
      </c>
      <c r="P200" s="335"/>
      <c r="Q200" s="223"/>
      <c r="R200" s="221"/>
      <c r="S200" s="225"/>
      <c r="T200" s="212">
        <f>G200</f>
        <v>0.177</v>
      </c>
      <c r="U200" s="212"/>
      <c r="V200" s="307">
        <f>T200</f>
        <v>0.177</v>
      </c>
      <c r="W200" s="213"/>
      <c r="X200" s="72"/>
      <c r="Y200" s="72"/>
      <c r="Z200" s="72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</row>
    <row r="201" spans="1:95" s="236" customFormat="1" ht="31.5">
      <c r="A201" s="241">
        <f t="shared" si="43"/>
        <v>37</v>
      </c>
      <c r="B201" s="309" t="s">
        <v>300</v>
      </c>
      <c r="C201" s="226" t="s">
        <v>36</v>
      </c>
      <c r="D201" s="310" t="s">
        <v>273</v>
      </c>
      <c r="E201" s="226">
        <v>2018</v>
      </c>
      <c r="F201" s="310">
        <v>2018</v>
      </c>
      <c r="G201" s="376">
        <f>1.70239*1.18</f>
        <v>2.0088202</v>
      </c>
      <c r="H201" s="229"/>
      <c r="I201" s="228"/>
      <c r="J201" s="363"/>
      <c r="K201" s="230"/>
      <c r="L201" s="231"/>
      <c r="M201" s="232"/>
      <c r="N201" s="232" t="str">
        <f>D201</f>
        <v>(КСО-5 шт., ЩО70-4 шт.)</v>
      </c>
      <c r="O201" s="233" t="str">
        <f>D201</f>
        <v>(КСО-5 шт., ЩО70-4 шт.)</v>
      </c>
      <c r="P201" s="337"/>
      <c r="Q201" s="234"/>
      <c r="R201" s="232"/>
      <c r="S201" s="235"/>
      <c r="T201" s="206"/>
      <c r="U201" s="206">
        <f>G201</f>
        <v>2.0088202</v>
      </c>
      <c r="V201" s="308">
        <f>SUM(Q201:U201)</f>
        <v>2.0088202</v>
      </c>
      <c r="W201" s="207"/>
      <c r="X201" s="208"/>
      <c r="Y201" s="208"/>
      <c r="Z201" s="208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209"/>
      <c r="BB201" s="209"/>
      <c r="BC201" s="209"/>
      <c r="BD201" s="209"/>
      <c r="BE201" s="209"/>
      <c r="BF201" s="209"/>
      <c r="BG201" s="209"/>
      <c r="BH201" s="209"/>
      <c r="BI201" s="209"/>
      <c r="BJ201" s="209"/>
      <c r="BK201" s="209"/>
      <c r="BL201" s="209"/>
      <c r="BM201" s="209"/>
      <c r="BN201" s="209"/>
      <c r="BO201" s="209"/>
      <c r="BP201" s="209"/>
      <c r="BQ201" s="209"/>
      <c r="BR201" s="209"/>
      <c r="BS201" s="209"/>
      <c r="BT201" s="209"/>
      <c r="BU201" s="209"/>
      <c r="BV201" s="209"/>
      <c r="BW201" s="209"/>
      <c r="BX201" s="209"/>
      <c r="BY201" s="209"/>
      <c r="BZ201" s="209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09"/>
      <c r="CM201" s="209"/>
      <c r="CN201" s="209"/>
      <c r="CO201" s="209"/>
      <c r="CP201" s="209"/>
      <c r="CQ201" s="209"/>
    </row>
    <row r="202" spans="1:95" s="224" customFormat="1" ht="35.25" customHeight="1">
      <c r="A202" s="241">
        <f t="shared" si="43"/>
        <v>38</v>
      </c>
      <c r="B202" s="304" t="s">
        <v>301</v>
      </c>
      <c r="C202" s="215" t="s">
        <v>59</v>
      </c>
      <c r="D202" s="214" t="s">
        <v>302</v>
      </c>
      <c r="E202" s="215">
        <v>2017</v>
      </c>
      <c r="F202" s="214">
        <v>2017</v>
      </c>
      <c r="G202" s="375">
        <f>0.15*1.18</f>
        <v>0.177</v>
      </c>
      <c r="H202" s="218"/>
      <c r="I202" s="217"/>
      <c r="J202" s="361"/>
      <c r="K202" s="219"/>
      <c r="L202" s="220"/>
      <c r="M202" s="214" t="str">
        <f>D202</f>
        <v>(КСО-3 шт., ЩО70-3 шт.)</v>
      </c>
      <c r="N202" s="221"/>
      <c r="O202" s="214" t="str">
        <f>M202</f>
        <v>(КСО-3 шт., ЩО70-3 шт.)</v>
      </c>
      <c r="P202" s="335"/>
      <c r="Q202" s="223"/>
      <c r="R202" s="221"/>
      <c r="S202" s="225"/>
      <c r="T202" s="212">
        <f>G202</f>
        <v>0.177</v>
      </c>
      <c r="U202" s="212"/>
      <c r="V202" s="307">
        <f>T202</f>
        <v>0.177</v>
      </c>
      <c r="W202" s="213"/>
      <c r="X202" s="72"/>
      <c r="Y202" s="72"/>
      <c r="Z202" s="72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</row>
    <row r="203" spans="1:95" s="236" customFormat="1" ht="31.5">
      <c r="A203" s="241">
        <f t="shared" si="43"/>
        <v>39</v>
      </c>
      <c r="B203" s="309" t="s">
        <v>301</v>
      </c>
      <c r="C203" s="226" t="s">
        <v>36</v>
      </c>
      <c r="D203" s="310" t="s">
        <v>302</v>
      </c>
      <c r="E203" s="226">
        <v>2018</v>
      </c>
      <c r="F203" s="310">
        <v>2018</v>
      </c>
      <c r="G203" s="376">
        <f>1.04969*1.18</f>
        <v>1.2386342</v>
      </c>
      <c r="H203" s="229"/>
      <c r="I203" s="228"/>
      <c r="J203" s="363"/>
      <c r="K203" s="230"/>
      <c r="L203" s="231"/>
      <c r="M203" s="232"/>
      <c r="N203" s="232" t="str">
        <f>D203</f>
        <v>(КСО-3 шт., ЩО70-3 шт.)</v>
      </c>
      <c r="O203" s="233" t="str">
        <f>D203</f>
        <v>(КСО-3 шт., ЩО70-3 шт.)</v>
      </c>
      <c r="P203" s="337"/>
      <c r="Q203" s="234"/>
      <c r="R203" s="232"/>
      <c r="S203" s="235"/>
      <c r="T203" s="206"/>
      <c r="U203" s="206">
        <f>G203</f>
        <v>1.2386342</v>
      </c>
      <c r="V203" s="308">
        <f>SUM(Q203:U203)</f>
        <v>1.2386342</v>
      </c>
      <c r="W203" s="207"/>
      <c r="X203" s="208"/>
      <c r="Y203" s="208"/>
      <c r="Z203" s="208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09"/>
      <c r="BN203" s="209"/>
      <c r="BO203" s="209"/>
      <c r="BP203" s="209"/>
      <c r="BQ203" s="209"/>
      <c r="BR203" s="209"/>
      <c r="BS203" s="209"/>
      <c r="BT203" s="209"/>
      <c r="BU203" s="209"/>
      <c r="BV203" s="209"/>
      <c r="BW203" s="209"/>
      <c r="BX203" s="209"/>
      <c r="BY203" s="209"/>
      <c r="BZ203" s="20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</row>
    <row r="204" spans="1:95" s="55" customFormat="1" ht="15.75">
      <c r="A204" s="81" t="s">
        <v>100</v>
      </c>
      <c r="B204" s="96" t="s">
        <v>69</v>
      </c>
      <c r="C204" s="127"/>
      <c r="D204" s="76"/>
      <c r="E204" s="127"/>
      <c r="F204" s="76"/>
      <c r="G204" s="140">
        <f>SUM(G205:G205)</f>
        <v>2.5233592</v>
      </c>
      <c r="H204" s="47"/>
      <c r="I204" s="128"/>
      <c r="J204" s="148"/>
      <c r="K204" s="47"/>
      <c r="L204" s="47"/>
      <c r="M204" s="47"/>
      <c r="N204" s="47"/>
      <c r="O204" s="320"/>
      <c r="P204" s="158"/>
      <c r="Q204" s="140">
        <f aca="true" t="shared" si="49" ref="Q204:V204">SUM(Q205:Q205)</f>
        <v>2.5233592</v>
      </c>
      <c r="R204" s="114">
        <f t="shared" si="49"/>
        <v>0</v>
      </c>
      <c r="S204" s="114">
        <f t="shared" si="49"/>
        <v>0</v>
      </c>
      <c r="T204" s="114">
        <f t="shared" si="49"/>
        <v>0</v>
      </c>
      <c r="U204" s="114">
        <f t="shared" si="49"/>
        <v>0</v>
      </c>
      <c r="V204" s="328">
        <f t="shared" si="49"/>
        <v>2.5233592</v>
      </c>
      <c r="W204" s="62"/>
      <c r="X204" s="73"/>
      <c r="Y204" s="73"/>
      <c r="Z204" s="73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</row>
    <row r="205" spans="1:95" s="275" customFormat="1" ht="30" customHeight="1">
      <c r="A205" s="241">
        <v>1</v>
      </c>
      <c r="B205" s="242" t="s">
        <v>205</v>
      </c>
      <c r="C205" s="265" t="s">
        <v>36</v>
      </c>
      <c r="D205" s="274" t="s">
        <v>101</v>
      </c>
      <c r="E205" s="265">
        <v>2014</v>
      </c>
      <c r="F205" s="274">
        <v>2014</v>
      </c>
      <c r="G205" s="350">
        <f>2.13844*1.18</f>
        <v>2.5233592</v>
      </c>
      <c r="H205" s="267"/>
      <c r="I205" s="268"/>
      <c r="J205" s="277" t="str">
        <f>D205</f>
        <v>0,8 Мва</v>
      </c>
      <c r="K205" s="273"/>
      <c r="L205" s="273"/>
      <c r="M205" s="273"/>
      <c r="N205" s="273"/>
      <c r="O205" s="256" t="str">
        <f>J205</f>
        <v>0,8 Мва</v>
      </c>
      <c r="P205" s="342"/>
      <c r="Q205" s="257">
        <f>G205</f>
        <v>2.5233592</v>
      </c>
      <c r="R205" s="249"/>
      <c r="S205" s="249"/>
      <c r="T205" s="247"/>
      <c r="U205" s="247"/>
      <c r="V205" s="250">
        <f>SUM(P205:S205)</f>
        <v>2.5233592</v>
      </c>
      <c r="W205" s="251"/>
      <c r="X205" s="252"/>
      <c r="Y205" s="252"/>
      <c r="Z205" s="252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</row>
    <row r="206" spans="1:95" s="55" customFormat="1" ht="15.75">
      <c r="A206" s="81" t="s">
        <v>102</v>
      </c>
      <c r="B206" s="98" t="s">
        <v>39</v>
      </c>
      <c r="C206" s="127"/>
      <c r="D206" s="76"/>
      <c r="E206" s="127"/>
      <c r="F206" s="76"/>
      <c r="G206" s="140">
        <f>SUM(G207:G214)</f>
        <v>6.4671552000000005</v>
      </c>
      <c r="H206" s="47"/>
      <c r="I206" s="128"/>
      <c r="J206" s="148"/>
      <c r="K206" s="47"/>
      <c r="L206" s="47"/>
      <c r="M206" s="47"/>
      <c r="N206" s="47"/>
      <c r="O206" s="320"/>
      <c r="P206" s="158">
        <f>SUM(P207:P207)</f>
        <v>0</v>
      </c>
      <c r="Q206" s="140">
        <f>SUM(Q207:Q207)</f>
        <v>0.22302</v>
      </c>
      <c r="R206" s="48">
        <f>SUM(R207:R209)</f>
        <v>1.8670432</v>
      </c>
      <c r="S206" s="48">
        <f>SUM(S207:S214)</f>
        <v>3.7870919999999995</v>
      </c>
      <c r="T206" s="48">
        <f>SUM(T207:T214)</f>
        <v>0.118</v>
      </c>
      <c r="U206" s="48">
        <f>SUM(U207:U214)</f>
        <v>0.472</v>
      </c>
      <c r="V206" s="141">
        <f>SUM(V207:V214)</f>
        <v>6.4671552000000005</v>
      </c>
      <c r="W206" s="62"/>
      <c r="X206" s="73"/>
      <c r="Y206" s="73"/>
      <c r="Z206" s="73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</row>
    <row r="207" spans="1:95" s="275" customFormat="1" ht="34.5" customHeight="1">
      <c r="A207" s="241">
        <v>1</v>
      </c>
      <c r="B207" s="242" t="s">
        <v>243</v>
      </c>
      <c r="C207" s="265" t="s">
        <v>36</v>
      </c>
      <c r="D207" s="274" t="s">
        <v>116</v>
      </c>
      <c r="E207" s="265">
        <v>2014</v>
      </c>
      <c r="F207" s="274">
        <v>2014</v>
      </c>
      <c r="G207" s="350">
        <f>0.189*1.18</f>
        <v>0.22302</v>
      </c>
      <c r="H207" s="267"/>
      <c r="I207" s="268"/>
      <c r="J207" s="369" t="str">
        <f>D207</f>
        <v>0,4 Мва</v>
      </c>
      <c r="K207" s="267"/>
      <c r="L207" s="267"/>
      <c r="M207" s="267"/>
      <c r="N207" s="267"/>
      <c r="O207" s="319" t="str">
        <f aca="true" t="shared" si="50" ref="O207:O214">D207</f>
        <v>0,4 Мва</v>
      </c>
      <c r="P207" s="346"/>
      <c r="Q207" s="350">
        <f>G207</f>
        <v>0.22302</v>
      </c>
      <c r="R207" s="260"/>
      <c r="S207" s="260"/>
      <c r="T207" s="267"/>
      <c r="U207" s="267"/>
      <c r="V207" s="294">
        <f>SUM(P207:S207)</f>
        <v>0.22302</v>
      </c>
      <c r="W207" s="251"/>
      <c r="X207" s="252"/>
      <c r="Y207" s="252"/>
      <c r="Z207" s="252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53"/>
      <c r="AT207" s="253"/>
      <c r="AU207" s="253"/>
      <c r="AV207" s="253"/>
      <c r="AW207" s="253"/>
      <c r="AX207" s="253"/>
      <c r="AY207" s="253"/>
      <c r="AZ207" s="253"/>
      <c r="BA207" s="253"/>
      <c r="BB207" s="253"/>
      <c r="BC207" s="253"/>
      <c r="BD207" s="253"/>
      <c r="BE207" s="253"/>
      <c r="BF207" s="253"/>
      <c r="BG207" s="253"/>
      <c r="BH207" s="253"/>
      <c r="BI207" s="253"/>
      <c r="BJ207" s="253"/>
      <c r="BK207" s="253"/>
      <c r="BL207" s="253"/>
      <c r="BM207" s="253"/>
      <c r="BN207" s="253"/>
      <c r="BO207" s="253"/>
      <c r="BP207" s="253"/>
      <c r="BQ207" s="253"/>
      <c r="BR207" s="253"/>
      <c r="BS207" s="253"/>
      <c r="BT207" s="253"/>
      <c r="BU207" s="253"/>
      <c r="BV207" s="253"/>
      <c r="BW207" s="253"/>
      <c r="BX207" s="253"/>
      <c r="BY207" s="253"/>
      <c r="BZ207" s="253"/>
      <c r="CA207" s="253"/>
      <c r="CB207" s="253"/>
      <c r="CC207" s="253"/>
      <c r="CD207" s="253"/>
      <c r="CE207" s="253"/>
      <c r="CF207" s="253"/>
      <c r="CG207" s="253"/>
      <c r="CH207" s="253"/>
      <c r="CI207" s="253"/>
      <c r="CJ207" s="253"/>
      <c r="CK207" s="253"/>
      <c r="CL207" s="253"/>
      <c r="CM207" s="253"/>
      <c r="CN207" s="253"/>
      <c r="CO207" s="253"/>
      <c r="CP207" s="253"/>
      <c r="CQ207" s="253"/>
    </row>
    <row r="208" spans="1:95" s="203" customFormat="1" ht="36.75" customHeight="1">
      <c r="A208" s="241">
        <f aca="true" t="shared" si="51" ref="A208:A214">A207+1</f>
        <v>2</v>
      </c>
      <c r="B208" s="179" t="s">
        <v>265</v>
      </c>
      <c r="C208" s="180" t="s">
        <v>36</v>
      </c>
      <c r="D208" s="181" t="s">
        <v>266</v>
      </c>
      <c r="E208" s="180">
        <v>2015</v>
      </c>
      <c r="F208" s="181">
        <v>2015</v>
      </c>
      <c r="G208" s="379">
        <f>1.46224*1.18</f>
        <v>1.7254432</v>
      </c>
      <c r="H208" s="183"/>
      <c r="I208" s="182"/>
      <c r="J208" s="368"/>
      <c r="K208" s="193" t="str">
        <f>D208</f>
        <v>тр. 400кВА-1шт., ЩО70-8шт.</v>
      </c>
      <c r="L208" s="192"/>
      <c r="M208" s="192"/>
      <c r="N208" s="192"/>
      <c r="O208" s="298" t="str">
        <f t="shared" si="50"/>
        <v>тр. 400кВА-1шт., ЩО70-8шт.</v>
      </c>
      <c r="P208" s="301"/>
      <c r="Q208" s="349"/>
      <c r="R208" s="184">
        <f>G208</f>
        <v>1.7254432</v>
      </c>
      <c r="S208" s="184"/>
      <c r="T208" s="191"/>
      <c r="U208" s="191"/>
      <c r="V208" s="194">
        <f>SUM(P208:S208)</f>
        <v>1.7254432</v>
      </c>
      <c r="W208" s="195"/>
      <c r="X208" s="185"/>
      <c r="Y208" s="185"/>
      <c r="Z208" s="185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6"/>
      <c r="BK208" s="186"/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186"/>
      <c r="CG208" s="186"/>
      <c r="CH208" s="186"/>
      <c r="CI208" s="186"/>
      <c r="CJ208" s="186"/>
      <c r="CK208" s="186"/>
      <c r="CL208" s="186"/>
      <c r="CM208" s="186"/>
      <c r="CN208" s="186"/>
      <c r="CO208" s="186"/>
      <c r="CP208" s="186"/>
      <c r="CQ208" s="186"/>
    </row>
    <row r="209" spans="1:95" s="203" customFormat="1" ht="15.75">
      <c r="A209" s="241">
        <f t="shared" si="51"/>
        <v>3</v>
      </c>
      <c r="B209" s="179" t="s">
        <v>223</v>
      </c>
      <c r="C209" s="180" t="s">
        <v>59</v>
      </c>
      <c r="D209" s="181" t="s">
        <v>224</v>
      </c>
      <c r="E209" s="180">
        <v>2015</v>
      </c>
      <c r="F209" s="181">
        <v>2015</v>
      </c>
      <c r="G209" s="379">
        <f>0.12*1.18</f>
        <v>0.14159999999999998</v>
      </c>
      <c r="H209" s="183"/>
      <c r="I209" s="182"/>
      <c r="J209" s="368"/>
      <c r="K209" s="193" t="str">
        <f>D209</f>
        <v>1 шт.</v>
      </c>
      <c r="L209" s="192"/>
      <c r="M209" s="192"/>
      <c r="N209" s="192"/>
      <c r="O209" s="298" t="str">
        <f t="shared" si="50"/>
        <v>1 шт.</v>
      </c>
      <c r="P209" s="301"/>
      <c r="Q209" s="349"/>
      <c r="R209" s="184">
        <f>G209</f>
        <v>0.14159999999999998</v>
      </c>
      <c r="S209" s="184"/>
      <c r="T209" s="191"/>
      <c r="U209" s="191"/>
      <c r="V209" s="194">
        <f>SUM(P209:S209)</f>
        <v>0.14159999999999998</v>
      </c>
      <c r="W209" s="195"/>
      <c r="X209" s="185"/>
      <c r="Y209" s="185"/>
      <c r="Z209" s="185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  <c r="BF209" s="186"/>
      <c r="BG209" s="186"/>
      <c r="BH209" s="186"/>
      <c r="BI209" s="186"/>
      <c r="BJ209" s="186"/>
      <c r="BK209" s="186"/>
      <c r="BL209" s="186"/>
      <c r="BM209" s="186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6"/>
      <c r="CB209" s="186"/>
      <c r="CC209" s="186"/>
      <c r="CD209" s="186"/>
      <c r="CE209" s="186"/>
      <c r="CF209" s="186"/>
      <c r="CG209" s="186"/>
      <c r="CH209" s="186"/>
      <c r="CI209" s="186"/>
      <c r="CJ209" s="186"/>
      <c r="CK209" s="186"/>
      <c r="CL209" s="186"/>
      <c r="CM209" s="186"/>
      <c r="CN209" s="186"/>
      <c r="CO209" s="186"/>
      <c r="CP209" s="186"/>
      <c r="CQ209" s="186"/>
    </row>
    <row r="210" spans="1:95" s="163" customFormat="1" ht="15.75">
      <c r="A210" s="241">
        <f t="shared" si="51"/>
        <v>4</v>
      </c>
      <c r="B210" s="238" t="s">
        <v>223</v>
      </c>
      <c r="C210" s="121" t="s">
        <v>36</v>
      </c>
      <c r="D210" s="58" t="s">
        <v>224</v>
      </c>
      <c r="E210" s="121">
        <v>2016</v>
      </c>
      <c r="F210" s="58">
        <v>2016</v>
      </c>
      <c r="G210" s="352">
        <f>0.96434*1.18</f>
        <v>1.1379211999999999</v>
      </c>
      <c r="H210" s="49"/>
      <c r="I210" s="122"/>
      <c r="J210" s="86"/>
      <c r="K210" s="60"/>
      <c r="L210" s="50" t="str">
        <f>D210</f>
        <v>1 шт.</v>
      </c>
      <c r="M210" s="59"/>
      <c r="N210" s="59"/>
      <c r="O210" s="60" t="str">
        <f t="shared" si="50"/>
        <v>1 шт.</v>
      </c>
      <c r="P210" s="302"/>
      <c r="Q210" s="137"/>
      <c r="R210" s="59"/>
      <c r="S210" s="150">
        <f>G210</f>
        <v>1.1379211999999999</v>
      </c>
      <c r="T210" s="17"/>
      <c r="U210" s="17"/>
      <c r="V210" s="131">
        <f>SUM(P210:T210)</f>
        <v>1.1379211999999999</v>
      </c>
      <c r="W210" s="62"/>
      <c r="X210" s="63"/>
      <c r="Y210" s="63"/>
      <c r="Z210" s="6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</row>
    <row r="211" spans="1:95" s="163" customFormat="1" ht="31.5">
      <c r="A211" s="241">
        <f t="shared" si="51"/>
        <v>5</v>
      </c>
      <c r="B211" s="238" t="s">
        <v>225</v>
      </c>
      <c r="C211" s="121" t="s">
        <v>36</v>
      </c>
      <c r="D211" s="58" t="s">
        <v>280</v>
      </c>
      <c r="E211" s="121">
        <v>2016</v>
      </c>
      <c r="F211" s="58">
        <v>2016</v>
      </c>
      <c r="G211" s="352">
        <f>0.96434*1.18</f>
        <v>1.1379211999999999</v>
      </c>
      <c r="H211" s="49"/>
      <c r="I211" s="122"/>
      <c r="J211" s="86"/>
      <c r="K211" s="60"/>
      <c r="L211" s="50" t="str">
        <f>D211</f>
        <v>2КТПН-БМ-160 кВА 10/0,4</v>
      </c>
      <c r="M211" s="59"/>
      <c r="N211" s="59"/>
      <c r="O211" s="60" t="str">
        <f t="shared" si="50"/>
        <v>2КТПН-БМ-160 кВА 10/0,4</v>
      </c>
      <c r="P211" s="302"/>
      <c r="Q211" s="137"/>
      <c r="R211" s="59"/>
      <c r="S211" s="150">
        <f>G211</f>
        <v>1.1379211999999999</v>
      </c>
      <c r="T211" s="17"/>
      <c r="U211" s="17"/>
      <c r="V211" s="131">
        <f>SUM(P211:T211)</f>
        <v>1.1379211999999999</v>
      </c>
      <c r="W211" s="62"/>
      <c r="X211" s="63"/>
      <c r="Y211" s="63"/>
      <c r="Z211" s="6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</row>
    <row r="212" spans="1:95" s="163" customFormat="1" ht="50.25" customHeight="1">
      <c r="A212" s="241">
        <f t="shared" si="51"/>
        <v>6</v>
      </c>
      <c r="B212" s="238" t="s">
        <v>349</v>
      </c>
      <c r="C212" s="121" t="s">
        <v>36</v>
      </c>
      <c r="D212" s="58" t="s">
        <v>226</v>
      </c>
      <c r="E212" s="121">
        <v>2016</v>
      </c>
      <c r="F212" s="58">
        <v>2016</v>
      </c>
      <c r="G212" s="352">
        <f>1.28072*1.18</f>
        <v>1.5112496</v>
      </c>
      <c r="H212" s="49"/>
      <c r="I212" s="122"/>
      <c r="J212" s="86"/>
      <c r="K212" s="60"/>
      <c r="L212" s="50" t="str">
        <f>D212</f>
        <v>КСО-8 шт., ЩО70-5 шт., тр-р ТМГ-250</v>
      </c>
      <c r="M212" s="59"/>
      <c r="N212" s="59"/>
      <c r="O212" s="60" t="str">
        <f t="shared" si="50"/>
        <v>КСО-8 шт., ЩО70-5 шт., тр-р ТМГ-250</v>
      </c>
      <c r="P212" s="302"/>
      <c r="Q212" s="137"/>
      <c r="R212" s="59"/>
      <c r="S212" s="150">
        <f>G212</f>
        <v>1.5112496</v>
      </c>
      <c r="T212" s="17"/>
      <c r="U212" s="17"/>
      <c r="V212" s="131">
        <f>SUM(P212:T212)</f>
        <v>1.5112496</v>
      </c>
      <c r="W212" s="62"/>
      <c r="X212" s="63"/>
      <c r="Y212" s="63"/>
      <c r="Z212" s="6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</row>
    <row r="213" spans="1:95" s="224" customFormat="1" ht="35.25" customHeight="1">
      <c r="A213" s="241">
        <f t="shared" si="51"/>
        <v>7</v>
      </c>
      <c r="B213" s="304" t="s">
        <v>350</v>
      </c>
      <c r="C213" s="215" t="s">
        <v>59</v>
      </c>
      <c r="D213" s="214" t="s">
        <v>310</v>
      </c>
      <c r="E213" s="215">
        <v>2017</v>
      </c>
      <c r="F213" s="214">
        <v>2017</v>
      </c>
      <c r="G213" s="375">
        <f>0.1*1.18</f>
        <v>0.118</v>
      </c>
      <c r="H213" s="218"/>
      <c r="I213" s="217"/>
      <c r="J213" s="361"/>
      <c r="K213" s="219"/>
      <c r="L213" s="220"/>
      <c r="M213" s="214" t="str">
        <f>D213</f>
        <v>0,16 МВА</v>
      </c>
      <c r="N213" s="221"/>
      <c r="O213" s="214" t="str">
        <f>M213</f>
        <v>0,16 МВА</v>
      </c>
      <c r="P213" s="335"/>
      <c r="Q213" s="223"/>
      <c r="R213" s="221"/>
      <c r="S213" s="225"/>
      <c r="T213" s="212">
        <f>G213</f>
        <v>0.118</v>
      </c>
      <c r="U213" s="212"/>
      <c r="V213" s="307">
        <f>T213</f>
        <v>0.118</v>
      </c>
      <c r="W213" s="213"/>
      <c r="X213" s="72"/>
      <c r="Y213" s="72"/>
      <c r="Z213" s="72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</row>
    <row r="214" spans="1:95" s="236" customFormat="1" ht="15.75">
      <c r="A214" s="241">
        <f t="shared" si="51"/>
        <v>8</v>
      </c>
      <c r="B214" s="309" t="s">
        <v>350</v>
      </c>
      <c r="C214" s="226" t="s">
        <v>36</v>
      </c>
      <c r="D214" s="310" t="s">
        <v>310</v>
      </c>
      <c r="E214" s="226">
        <v>2018</v>
      </c>
      <c r="F214" s="310">
        <v>2018</v>
      </c>
      <c r="G214" s="376">
        <f>0.4*1.18</f>
        <v>0.472</v>
      </c>
      <c r="H214" s="229"/>
      <c r="I214" s="228"/>
      <c r="J214" s="363"/>
      <c r="K214" s="230"/>
      <c r="L214" s="231"/>
      <c r="M214" s="232"/>
      <c r="N214" s="232" t="str">
        <f>D214</f>
        <v>0,16 МВА</v>
      </c>
      <c r="O214" s="233" t="str">
        <f t="shared" si="50"/>
        <v>0,16 МВА</v>
      </c>
      <c r="P214" s="337"/>
      <c r="Q214" s="234"/>
      <c r="R214" s="232"/>
      <c r="S214" s="235"/>
      <c r="T214" s="206"/>
      <c r="U214" s="206">
        <f>G214</f>
        <v>0.472</v>
      </c>
      <c r="V214" s="308">
        <f>SUM(Q214:U214)</f>
        <v>0.472</v>
      </c>
      <c r="W214" s="207"/>
      <c r="X214" s="208"/>
      <c r="Y214" s="208"/>
      <c r="Z214" s="208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09"/>
      <c r="BK214" s="209"/>
      <c r="BL214" s="209"/>
      <c r="BM214" s="209"/>
      <c r="BN214" s="209"/>
      <c r="BO214" s="209"/>
      <c r="BP214" s="209"/>
      <c r="BQ214" s="209"/>
      <c r="BR214" s="209"/>
      <c r="BS214" s="209"/>
      <c r="BT214" s="209"/>
      <c r="BU214" s="209"/>
      <c r="BV214" s="209"/>
      <c r="BW214" s="209"/>
      <c r="BX214" s="209"/>
      <c r="BY214" s="209"/>
      <c r="BZ214" s="20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</row>
    <row r="215" spans="1:95" s="23" customFormat="1" ht="72.75" customHeight="1">
      <c r="A215" s="78" t="s">
        <v>103</v>
      </c>
      <c r="B215" s="87" t="s">
        <v>104</v>
      </c>
      <c r="C215" s="116"/>
      <c r="D215" s="104"/>
      <c r="E215" s="116"/>
      <c r="F215" s="104"/>
      <c r="G215" s="132">
        <f>G216</f>
        <v>0</v>
      </c>
      <c r="H215" s="10"/>
      <c r="I215" s="117"/>
      <c r="J215" s="359"/>
      <c r="K215" s="10"/>
      <c r="L215" s="10"/>
      <c r="M215" s="10"/>
      <c r="N215" s="10"/>
      <c r="O215" s="312"/>
      <c r="P215" s="146">
        <f aca="true" t="shared" si="52" ref="P215:V215">P216</f>
        <v>0</v>
      </c>
      <c r="Q215" s="132">
        <f t="shared" si="52"/>
        <v>0</v>
      </c>
      <c r="R215" s="11">
        <f t="shared" si="52"/>
        <v>0</v>
      </c>
      <c r="S215" s="11">
        <f t="shared" si="52"/>
        <v>0</v>
      </c>
      <c r="T215" s="11">
        <f t="shared" si="52"/>
        <v>0</v>
      </c>
      <c r="U215" s="11">
        <f t="shared" si="52"/>
        <v>0</v>
      </c>
      <c r="V215" s="159">
        <f t="shared" si="52"/>
        <v>0</v>
      </c>
      <c r="W215" s="62"/>
      <c r="X215" s="74"/>
      <c r="Y215" s="73"/>
      <c r="Z215" s="73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</row>
    <row r="216" spans="1:95" s="24" customFormat="1" ht="24.75" customHeight="1">
      <c r="A216" s="79" t="s">
        <v>139</v>
      </c>
      <c r="B216" s="88" t="s">
        <v>54</v>
      </c>
      <c r="C216" s="123"/>
      <c r="D216" s="107"/>
      <c r="E216" s="123"/>
      <c r="F216" s="107"/>
      <c r="G216" s="133">
        <f>G217</f>
        <v>0</v>
      </c>
      <c r="H216" s="12"/>
      <c r="I216" s="124"/>
      <c r="J216" s="364"/>
      <c r="K216" s="12"/>
      <c r="L216" s="12"/>
      <c r="M216" s="12"/>
      <c r="N216" s="12"/>
      <c r="O216" s="314"/>
      <c r="P216" s="333">
        <f aca="true" t="shared" si="53" ref="P216:V216">SUM(P217)</f>
        <v>0</v>
      </c>
      <c r="Q216" s="333">
        <f t="shared" si="53"/>
        <v>0</v>
      </c>
      <c r="R216" s="14">
        <f t="shared" si="53"/>
        <v>0</v>
      </c>
      <c r="S216" s="14">
        <f t="shared" si="53"/>
        <v>0</v>
      </c>
      <c r="T216" s="113">
        <f t="shared" si="53"/>
        <v>0</v>
      </c>
      <c r="U216" s="113">
        <f t="shared" si="53"/>
        <v>0</v>
      </c>
      <c r="V216" s="134">
        <f t="shared" si="53"/>
        <v>0</v>
      </c>
      <c r="W216" s="62"/>
      <c r="X216" s="73"/>
      <c r="Y216" s="73"/>
      <c r="Z216" s="73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</row>
    <row r="217" spans="1:95" s="25" customFormat="1" ht="15.75">
      <c r="A217" s="36" t="s">
        <v>140</v>
      </c>
      <c r="B217" s="89" t="s">
        <v>35</v>
      </c>
      <c r="C217" s="120"/>
      <c r="D217" s="106"/>
      <c r="E217" s="120"/>
      <c r="F217" s="106"/>
      <c r="G217" s="135">
        <f>SUM(G218:G218)</f>
        <v>0</v>
      </c>
      <c r="H217" s="16"/>
      <c r="I217" s="35"/>
      <c r="J217" s="85"/>
      <c r="K217" s="16"/>
      <c r="L217" s="16"/>
      <c r="M217" s="16"/>
      <c r="N217" s="16"/>
      <c r="O217" s="162"/>
      <c r="P217" s="161">
        <f aca="true" t="shared" si="54" ref="P217:V217">SUM(P218:P218)</f>
        <v>0</v>
      </c>
      <c r="Q217" s="161">
        <f t="shared" si="54"/>
        <v>0</v>
      </c>
      <c r="R217" s="8">
        <f t="shared" si="54"/>
        <v>0</v>
      </c>
      <c r="S217" s="8">
        <f t="shared" si="54"/>
        <v>0</v>
      </c>
      <c r="T217" s="111">
        <f t="shared" si="54"/>
        <v>0</v>
      </c>
      <c r="U217" s="111">
        <f t="shared" si="54"/>
        <v>0</v>
      </c>
      <c r="V217" s="329">
        <f t="shared" si="54"/>
        <v>0</v>
      </c>
      <c r="W217" s="62"/>
      <c r="X217" s="63"/>
      <c r="Y217" s="63"/>
      <c r="Z217" s="6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</row>
    <row r="218" spans="1:95" s="25" customFormat="1" ht="15.75">
      <c r="A218" s="83"/>
      <c r="B218" s="37"/>
      <c r="C218" s="120"/>
      <c r="D218" s="106"/>
      <c r="E218" s="120"/>
      <c r="F218" s="106"/>
      <c r="G218" s="136"/>
      <c r="H218" s="16"/>
      <c r="I218" s="35"/>
      <c r="J218" s="85"/>
      <c r="K218" s="16"/>
      <c r="L218" s="16"/>
      <c r="M218" s="16"/>
      <c r="N218" s="16"/>
      <c r="O218" s="162"/>
      <c r="P218" s="343"/>
      <c r="Q218" s="136"/>
      <c r="R218" s="17"/>
      <c r="S218" s="17"/>
      <c r="T218" s="17"/>
      <c r="U218" s="17"/>
      <c r="V218" s="131"/>
      <c r="W218" s="62"/>
      <c r="X218" s="63"/>
      <c r="Y218" s="63"/>
      <c r="Z218" s="6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</row>
    <row r="219" spans="1:95" s="27" customFormat="1" ht="15.75">
      <c r="A219" s="78">
        <v>2</v>
      </c>
      <c r="B219" s="87" t="s">
        <v>105</v>
      </c>
      <c r="C219" s="116"/>
      <c r="D219" s="104"/>
      <c r="E219" s="116"/>
      <c r="F219" s="104"/>
      <c r="G219" s="132">
        <f>G220+G238</f>
        <v>196.43811639999998</v>
      </c>
      <c r="H219" s="10"/>
      <c r="I219" s="117"/>
      <c r="J219" s="359"/>
      <c r="K219" s="10"/>
      <c r="L219" s="10"/>
      <c r="M219" s="10"/>
      <c r="N219" s="10"/>
      <c r="O219" s="312"/>
      <c r="P219" s="146" t="e">
        <f aca="true" t="shared" si="55" ref="P219:V219">P220+P238</f>
        <v>#REF!</v>
      </c>
      <c r="Q219" s="132">
        <f t="shared" si="55"/>
        <v>63.059341599999996</v>
      </c>
      <c r="R219" s="112">
        <f t="shared" si="55"/>
        <v>30.3805986</v>
      </c>
      <c r="S219" s="112">
        <f t="shared" si="55"/>
        <v>28.2808712</v>
      </c>
      <c r="T219" s="112">
        <f t="shared" si="55"/>
        <v>36.934</v>
      </c>
      <c r="U219" s="112">
        <f t="shared" si="55"/>
        <v>37.783305</v>
      </c>
      <c r="V219" s="159">
        <f t="shared" si="55"/>
        <v>196.43811639999998</v>
      </c>
      <c r="W219" s="62"/>
      <c r="X219" s="74"/>
      <c r="Y219" s="73"/>
      <c r="Z219" s="73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</row>
    <row r="220" spans="1:95" s="27" customFormat="1" ht="15.75">
      <c r="A220" s="78" t="s">
        <v>3</v>
      </c>
      <c r="B220" s="95" t="s">
        <v>107</v>
      </c>
      <c r="C220" s="116"/>
      <c r="D220" s="104"/>
      <c r="E220" s="116"/>
      <c r="F220" s="104"/>
      <c r="G220" s="132">
        <f>G221+G228+G231</f>
        <v>18.172</v>
      </c>
      <c r="H220" s="10"/>
      <c r="I220" s="117"/>
      <c r="J220" s="359"/>
      <c r="K220" s="10"/>
      <c r="L220" s="10"/>
      <c r="M220" s="10"/>
      <c r="N220" s="10"/>
      <c r="O220" s="312"/>
      <c r="P220" s="146" t="e">
        <f>#REF!+P221+P228+P231</f>
        <v>#REF!</v>
      </c>
      <c r="Q220" s="132">
        <f aca="true" t="shared" si="56" ref="Q220:V220">Q221+Q228+Q231</f>
        <v>0</v>
      </c>
      <c r="R220" s="112">
        <f t="shared" si="56"/>
        <v>0</v>
      </c>
      <c r="S220" s="112">
        <f t="shared" si="56"/>
        <v>0</v>
      </c>
      <c r="T220" s="112">
        <f t="shared" si="56"/>
        <v>18.172</v>
      </c>
      <c r="U220" s="112">
        <f t="shared" si="56"/>
        <v>0</v>
      </c>
      <c r="V220" s="159">
        <f t="shared" si="56"/>
        <v>18.172</v>
      </c>
      <c r="W220" s="62"/>
      <c r="X220" s="74"/>
      <c r="Y220" s="73"/>
      <c r="Z220" s="73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</row>
    <row r="221" spans="1:95" s="19" customFormat="1" ht="29.25" customHeight="1">
      <c r="A221" s="79" t="s">
        <v>153</v>
      </c>
      <c r="B221" s="93" t="s">
        <v>78</v>
      </c>
      <c r="C221" s="123"/>
      <c r="D221" s="107"/>
      <c r="E221" s="123"/>
      <c r="F221" s="107"/>
      <c r="G221" s="351">
        <f>G222+G226+G224</f>
        <v>0</v>
      </c>
      <c r="H221" s="12"/>
      <c r="I221" s="124"/>
      <c r="J221" s="364"/>
      <c r="K221" s="12"/>
      <c r="L221" s="12"/>
      <c r="M221" s="12"/>
      <c r="N221" s="12"/>
      <c r="O221" s="314"/>
      <c r="P221" s="333" t="e">
        <f>P222+P226</f>
        <v>#REF!</v>
      </c>
      <c r="Q221" s="351">
        <f aca="true" t="shared" si="57" ref="Q221:V221">Q222+Q226+Q224</f>
        <v>0</v>
      </c>
      <c r="R221" s="147">
        <f t="shared" si="57"/>
        <v>0</v>
      </c>
      <c r="S221" s="147">
        <f t="shared" si="57"/>
        <v>0</v>
      </c>
      <c r="T221" s="147">
        <f t="shared" si="57"/>
        <v>0</v>
      </c>
      <c r="U221" s="147">
        <f t="shared" si="57"/>
        <v>0</v>
      </c>
      <c r="V221" s="144">
        <f t="shared" si="57"/>
        <v>0</v>
      </c>
      <c r="W221" s="62"/>
      <c r="X221" s="74"/>
      <c r="Y221" s="73"/>
      <c r="Z221" s="73" t="s">
        <v>126</v>
      </c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</row>
    <row r="222" spans="1:95" s="2" customFormat="1" ht="15.75">
      <c r="A222" s="36" t="s">
        <v>157</v>
      </c>
      <c r="B222" s="89" t="s">
        <v>35</v>
      </c>
      <c r="C222" s="120"/>
      <c r="D222" s="106"/>
      <c r="E222" s="120"/>
      <c r="F222" s="106"/>
      <c r="G222" s="135">
        <f>G223</f>
        <v>0</v>
      </c>
      <c r="H222" s="17"/>
      <c r="I222" s="35"/>
      <c r="J222" s="85"/>
      <c r="K222" s="16"/>
      <c r="L222" s="16"/>
      <c r="M222" s="16"/>
      <c r="N222" s="16"/>
      <c r="O222" s="162"/>
      <c r="P222" s="161" t="e">
        <f>SUM(#REF!)</f>
        <v>#REF!</v>
      </c>
      <c r="Q222" s="135">
        <f aca="true" t="shared" si="58" ref="Q222:V222">SUM(Q223:Q223)</f>
        <v>0</v>
      </c>
      <c r="R222" s="8">
        <f t="shared" si="58"/>
        <v>0</v>
      </c>
      <c r="S222" s="8">
        <f t="shared" si="58"/>
        <v>0</v>
      </c>
      <c r="T222" s="8">
        <f t="shared" si="58"/>
        <v>0</v>
      </c>
      <c r="U222" s="8">
        <f t="shared" si="58"/>
        <v>0</v>
      </c>
      <c r="V222" s="129">
        <f t="shared" si="58"/>
        <v>0</v>
      </c>
      <c r="W222" s="62"/>
      <c r="X222" s="74"/>
      <c r="Y222" s="63"/>
      <c r="Z222" s="6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</row>
    <row r="223" spans="1:95" s="196" customFormat="1" ht="16.5" customHeight="1">
      <c r="A223" s="197"/>
      <c r="B223" s="179"/>
      <c r="C223" s="188"/>
      <c r="D223" s="189"/>
      <c r="E223" s="188"/>
      <c r="F223" s="198"/>
      <c r="G223" s="349"/>
      <c r="H223" s="191"/>
      <c r="I223" s="190"/>
      <c r="J223" s="299"/>
      <c r="K223" s="192"/>
      <c r="L223" s="192"/>
      <c r="M223" s="192"/>
      <c r="N223" s="192"/>
      <c r="O223" s="298"/>
      <c r="P223" s="301"/>
      <c r="Q223" s="349"/>
      <c r="R223" s="184"/>
      <c r="S223" s="184"/>
      <c r="T223" s="191"/>
      <c r="U223" s="191"/>
      <c r="V223" s="194"/>
      <c r="W223" s="195"/>
      <c r="X223" s="185"/>
      <c r="Y223" s="185"/>
      <c r="Z223" s="185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6"/>
      <c r="CM223" s="186"/>
      <c r="CN223" s="186"/>
      <c r="CO223" s="186"/>
      <c r="CP223" s="186"/>
      <c r="CQ223" s="186"/>
    </row>
    <row r="224" spans="1:95" s="163" customFormat="1" ht="15.75">
      <c r="A224" s="81" t="s">
        <v>183</v>
      </c>
      <c r="B224" s="96" t="s">
        <v>2</v>
      </c>
      <c r="C224" s="121"/>
      <c r="D224" s="58"/>
      <c r="E224" s="121"/>
      <c r="F224" s="58"/>
      <c r="G224" s="140">
        <f>G225</f>
        <v>0</v>
      </c>
      <c r="H224" s="49"/>
      <c r="I224" s="122"/>
      <c r="J224" s="86"/>
      <c r="K224" s="60"/>
      <c r="L224" s="50"/>
      <c r="M224" s="59"/>
      <c r="N224" s="59"/>
      <c r="O224" s="321"/>
      <c r="P224" s="347"/>
      <c r="Q224" s="149">
        <v>0</v>
      </c>
      <c r="R224" s="150">
        <v>0</v>
      </c>
      <c r="S224" s="150">
        <v>0</v>
      </c>
      <c r="T224" s="150">
        <v>0</v>
      </c>
      <c r="U224" s="150">
        <v>0</v>
      </c>
      <c r="V224" s="152">
        <f>V225</f>
        <v>0</v>
      </c>
      <c r="W224" s="62"/>
      <c r="X224" s="63"/>
      <c r="Y224" s="63"/>
      <c r="Z224" s="6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</row>
    <row r="225" spans="1:95" s="163" customFormat="1" ht="15.75">
      <c r="A225" s="80"/>
      <c r="B225" s="90"/>
      <c r="C225" s="121"/>
      <c r="D225" s="58"/>
      <c r="E225" s="121"/>
      <c r="F225" s="58"/>
      <c r="G225" s="352"/>
      <c r="H225" s="49"/>
      <c r="I225" s="122"/>
      <c r="K225" s="60"/>
      <c r="L225" s="50"/>
      <c r="M225" s="49"/>
      <c r="N225" s="49"/>
      <c r="O225" s="143"/>
      <c r="P225" s="347"/>
      <c r="Q225" s="149"/>
      <c r="R225" s="150"/>
      <c r="S225" s="150"/>
      <c r="T225" s="150"/>
      <c r="U225" s="150"/>
      <c r="V225" s="151"/>
      <c r="W225" s="62"/>
      <c r="X225" s="63"/>
      <c r="Y225" s="63"/>
      <c r="Z225" s="6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</row>
    <row r="226" spans="1:95" s="2" customFormat="1" ht="15.75">
      <c r="A226" s="36" t="s">
        <v>184</v>
      </c>
      <c r="B226" s="94" t="s">
        <v>39</v>
      </c>
      <c r="C226" s="120"/>
      <c r="D226" s="106"/>
      <c r="E226" s="120"/>
      <c r="F226" s="106"/>
      <c r="G226" s="380">
        <f>SUM(G227:G227)</f>
        <v>0</v>
      </c>
      <c r="H226" s="16"/>
      <c r="I226" s="35"/>
      <c r="J226" s="85"/>
      <c r="K226" s="16"/>
      <c r="L226" s="16"/>
      <c r="M226" s="16"/>
      <c r="N226" s="16"/>
      <c r="O226" s="162"/>
      <c r="P226" s="161"/>
      <c r="Q226" s="135">
        <f>SUM(Q227:Q227)</f>
        <v>0</v>
      </c>
      <c r="R226" s="8">
        <f>SUM(R227:R227)</f>
        <v>0</v>
      </c>
      <c r="S226" s="8">
        <f>SUM(S227:S227)</f>
        <v>0</v>
      </c>
      <c r="T226" s="8"/>
      <c r="U226" s="8"/>
      <c r="V226" s="129">
        <f>SUM(V227:V227)</f>
        <v>0</v>
      </c>
      <c r="W226" s="62"/>
      <c r="X226" s="74"/>
      <c r="Y226" s="63"/>
      <c r="Z226" s="6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</row>
    <row r="227" spans="1:95" s="2" customFormat="1" ht="15.75">
      <c r="A227" s="83"/>
      <c r="B227" s="100"/>
      <c r="C227" s="120"/>
      <c r="D227" s="106"/>
      <c r="E227" s="120"/>
      <c r="F227" s="106"/>
      <c r="G227" s="136"/>
      <c r="H227" s="16"/>
      <c r="I227" s="35"/>
      <c r="J227" s="85"/>
      <c r="K227" s="16"/>
      <c r="L227" s="16"/>
      <c r="M227" s="16"/>
      <c r="N227" s="16"/>
      <c r="O227" s="162"/>
      <c r="P227" s="343"/>
      <c r="Q227" s="136"/>
      <c r="R227" s="17"/>
      <c r="S227" s="17"/>
      <c r="T227" s="17"/>
      <c r="U227" s="17"/>
      <c r="V227" s="131"/>
      <c r="W227" s="62"/>
      <c r="X227" s="74"/>
      <c r="Y227" s="63"/>
      <c r="Z227" s="6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</row>
    <row r="228" spans="1:95" s="19" customFormat="1" ht="20.25" customHeight="1">
      <c r="A228" s="79" t="s">
        <v>154</v>
      </c>
      <c r="B228" s="88" t="s">
        <v>95</v>
      </c>
      <c r="C228" s="123"/>
      <c r="D228" s="107"/>
      <c r="E228" s="123"/>
      <c r="F228" s="107"/>
      <c r="G228" s="133">
        <f>G229</f>
        <v>0</v>
      </c>
      <c r="H228" s="12"/>
      <c r="I228" s="124"/>
      <c r="J228" s="364"/>
      <c r="K228" s="12"/>
      <c r="L228" s="12"/>
      <c r="M228" s="12"/>
      <c r="N228" s="12"/>
      <c r="O228" s="314"/>
      <c r="P228" s="333">
        <f aca="true" t="shared" si="59" ref="P228:V228">P229</f>
        <v>0</v>
      </c>
      <c r="Q228" s="133">
        <f t="shared" si="59"/>
        <v>0</v>
      </c>
      <c r="R228" s="113">
        <f t="shared" si="59"/>
        <v>0</v>
      </c>
      <c r="S228" s="113">
        <f t="shared" si="59"/>
        <v>0</v>
      </c>
      <c r="T228" s="113">
        <f t="shared" si="59"/>
        <v>0</v>
      </c>
      <c r="U228" s="113">
        <f t="shared" si="59"/>
        <v>0</v>
      </c>
      <c r="V228" s="134">
        <f t="shared" si="59"/>
        <v>0</v>
      </c>
      <c r="W228" s="62"/>
      <c r="X228" s="74"/>
      <c r="Y228" s="73"/>
      <c r="Z228" s="73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</row>
    <row r="229" spans="1:95" s="51" customFormat="1" ht="15.75">
      <c r="A229" s="36" t="s">
        <v>158</v>
      </c>
      <c r="B229" s="96" t="s">
        <v>35</v>
      </c>
      <c r="C229" s="127"/>
      <c r="D229" s="76"/>
      <c r="E229" s="127"/>
      <c r="F229" s="76"/>
      <c r="G229" s="140">
        <f>SUM(G230:G230)</f>
        <v>0</v>
      </c>
      <c r="H229" s="47"/>
      <c r="I229" s="128"/>
      <c r="J229" s="148"/>
      <c r="K229" s="47"/>
      <c r="L229" s="47"/>
      <c r="M229" s="47"/>
      <c r="N229" s="47"/>
      <c r="O229" s="320"/>
      <c r="P229" s="158">
        <f aca="true" t="shared" si="60" ref="P229:V229">SUM(P230:P230)</f>
        <v>0</v>
      </c>
      <c r="Q229" s="140">
        <f t="shared" si="60"/>
        <v>0</v>
      </c>
      <c r="R229" s="114">
        <f t="shared" si="60"/>
        <v>0</v>
      </c>
      <c r="S229" s="114">
        <f t="shared" si="60"/>
        <v>0</v>
      </c>
      <c r="T229" s="114">
        <f t="shared" si="60"/>
        <v>0</v>
      </c>
      <c r="U229" s="114">
        <f t="shared" si="60"/>
        <v>0</v>
      </c>
      <c r="V229" s="141">
        <f t="shared" si="60"/>
        <v>0</v>
      </c>
      <c r="W229" s="62"/>
      <c r="X229" s="74"/>
      <c r="Y229" s="73"/>
      <c r="Z229" s="73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</row>
    <row r="230" spans="1:95" s="163" customFormat="1" ht="15.75">
      <c r="A230" s="80"/>
      <c r="B230" s="91"/>
      <c r="C230" s="121"/>
      <c r="D230" s="58"/>
      <c r="E230" s="121"/>
      <c r="F230" s="357"/>
      <c r="G230" s="352"/>
      <c r="H230" s="49"/>
      <c r="I230" s="122"/>
      <c r="J230" s="86"/>
      <c r="K230" s="49"/>
      <c r="L230" s="49"/>
      <c r="M230" s="49"/>
      <c r="N230" s="49"/>
      <c r="O230" s="143"/>
      <c r="P230" s="343"/>
      <c r="Q230" s="352"/>
      <c r="R230" s="50"/>
      <c r="S230" s="50"/>
      <c r="T230" s="50"/>
      <c r="U230" s="50"/>
      <c r="V230" s="142"/>
      <c r="W230" s="62"/>
      <c r="X230" s="164"/>
      <c r="Y230" s="63"/>
      <c r="Z230" s="6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</row>
    <row r="231" spans="1:95" s="19" customFormat="1" ht="22.5" customHeight="1">
      <c r="A231" s="79" t="s">
        <v>155</v>
      </c>
      <c r="B231" s="88" t="s">
        <v>54</v>
      </c>
      <c r="C231" s="123"/>
      <c r="D231" s="107"/>
      <c r="E231" s="123"/>
      <c r="F231" s="107"/>
      <c r="G231" s="133">
        <f aca="true" t="shared" si="61" ref="G231:V231">G232+G234+G236</f>
        <v>18.172</v>
      </c>
      <c r="H231" s="113">
        <f t="shared" si="61"/>
        <v>0</v>
      </c>
      <c r="I231" s="144">
        <f t="shared" si="61"/>
        <v>0</v>
      </c>
      <c r="J231" s="113">
        <f t="shared" si="61"/>
        <v>0</v>
      </c>
      <c r="K231" s="113">
        <f t="shared" si="61"/>
        <v>0</v>
      </c>
      <c r="L231" s="113">
        <f t="shared" si="61"/>
        <v>0</v>
      </c>
      <c r="M231" s="113">
        <f t="shared" si="61"/>
        <v>0</v>
      </c>
      <c r="N231" s="113">
        <f t="shared" si="61"/>
        <v>0</v>
      </c>
      <c r="O231" s="315">
        <f t="shared" si="61"/>
        <v>0</v>
      </c>
      <c r="P231" s="333">
        <f t="shared" si="61"/>
        <v>0</v>
      </c>
      <c r="Q231" s="133">
        <f t="shared" si="61"/>
        <v>0</v>
      </c>
      <c r="R231" s="113">
        <f t="shared" si="61"/>
        <v>0</v>
      </c>
      <c r="S231" s="113">
        <f t="shared" si="61"/>
        <v>0</v>
      </c>
      <c r="T231" s="113">
        <f t="shared" si="61"/>
        <v>18.172</v>
      </c>
      <c r="U231" s="113">
        <f t="shared" si="61"/>
        <v>0</v>
      </c>
      <c r="V231" s="144">
        <f t="shared" si="61"/>
        <v>18.172</v>
      </c>
      <c r="W231" s="62"/>
      <c r="X231" s="74"/>
      <c r="Y231" s="73"/>
      <c r="Z231" s="73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</row>
    <row r="232" spans="1:95" s="2" customFormat="1" ht="15.75">
      <c r="A232" s="36" t="s">
        <v>159</v>
      </c>
      <c r="B232" s="89" t="s">
        <v>35</v>
      </c>
      <c r="C232" s="120"/>
      <c r="D232" s="106"/>
      <c r="E232" s="120"/>
      <c r="F232" s="106"/>
      <c r="G232" s="135">
        <f>SUM(G233:G233)</f>
        <v>0</v>
      </c>
      <c r="H232" s="16"/>
      <c r="I232" s="35"/>
      <c r="J232" s="85"/>
      <c r="K232" s="16"/>
      <c r="L232" s="16"/>
      <c r="M232" s="16"/>
      <c r="N232" s="16"/>
      <c r="O232" s="162"/>
      <c r="P232" s="161">
        <f aca="true" t="shared" si="62" ref="P232:V232">SUM(P233:P233)</f>
        <v>0</v>
      </c>
      <c r="Q232" s="135">
        <f t="shared" si="62"/>
        <v>0</v>
      </c>
      <c r="R232" s="111">
        <f t="shared" si="62"/>
        <v>0</v>
      </c>
      <c r="S232" s="111">
        <f t="shared" si="62"/>
        <v>0</v>
      </c>
      <c r="T232" s="111">
        <f t="shared" si="62"/>
        <v>0</v>
      </c>
      <c r="U232" s="111">
        <f t="shared" si="62"/>
        <v>0</v>
      </c>
      <c r="V232" s="329">
        <f t="shared" si="62"/>
        <v>0</v>
      </c>
      <c r="W232" s="62"/>
      <c r="X232" s="74"/>
      <c r="Y232" s="63"/>
      <c r="Z232" s="6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</row>
    <row r="233" spans="1:95" s="163" customFormat="1" ht="15.75">
      <c r="A233" s="80"/>
      <c r="B233" s="90"/>
      <c r="C233" s="121"/>
      <c r="D233" s="58"/>
      <c r="E233" s="121"/>
      <c r="F233" s="58"/>
      <c r="G233" s="352"/>
      <c r="H233" s="49"/>
      <c r="I233" s="122"/>
      <c r="J233" s="370"/>
      <c r="K233" s="60"/>
      <c r="L233" s="50"/>
      <c r="M233" s="49"/>
      <c r="N233" s="49"/>
      <c r="O233" s="162"/>
      <c r="P233" s="302"/>
      <c r="Q233" s="137"/>
      <c r="R233" s="59"/>
      <c r="S233" s="59"/>
      <c r="T233" s="131"/>
      <c r="U233" s="131"/>
      <c r="V233" s="131"/>
      <c r="W233" s="62"/>
      <c r="X233" s="63"/>
      <c r="Y233" s="63"/>
      <c r="Z233" s="6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</row>
    <row r="234" spans="1:95" s="9" customFormat="1" ht="25.5" customHeight="1">
      <c r="A234" s="36" t="s">
        <v>185</v>
      </c>
      <c r="B234" s="96" t="s">
        <v>69</v>
      </c>
      <c r="C234" s="43"/>
      <c r="D234" s="41"/>
      <c r="E234" s="43"/>
      <c r="F234" s="41"/>
      <c r="G234" s="135">
        <f>SUM(G235)</f>
        <v>18.172</v>
      </c>
      <c r="H234" s="111">
        <f aca="true" t="shared" si="63" ref="H234:V234">SUM(H235)</f>
        <v>0</v>
      </c>
      <c r="I234" s="145">
        <f t="shared" si="63"/>
        <v>0</v>
      </c>
      <c r="J234" s="111">
        <f t="shared" si="63"/>
        <v>0</v>
      </c>
      <c r="K234" s="111">
        <f t="shared" si="63"/>
        <v>0</v>
      </c>
      <c r="L234" s="111">
        <f t="shared" si="63"/>
        <v>0</v>
      </c>
      <c r="M234" s="111">
        <f t="shared" si="63"/>
        <v>0</v>
      </c>
      <c r="N234" s="111">
        <f t="shared" si="63"/>
        <v>0</v>
      </c>
      <c r="O234" s="316">
        <f t="shared" si="63"/>
        <v>0</v>
      </c>
      <c r="P234" s="161">
        <f t="shared" si="63"/>
        <v>0</v>
      </c>
      <c r="Q234" s="135">
        <f t="shared" si="63"/>
        <v>0</v>
      </c>
      <c r="R234" s="111">
        <f t="shared" si="63"/>
        <v>0</v>
      </c>
      <c r="S234" s="111">
        <f t="shared" si="63"/>
        <v>0</v>
      </c>
      <c r="T234" s="111">
        <f t="shared" si="63"/>
        <v>18.172</v>
      </c>
      <c r="U234" s="111">
        <f t="shared" si="63"/>
        <v>0</v>
      </c>
      <c r="V234" s="145">
        <f t="shared" si="63"/>
        <v>18.172</v>
      </c>
      <c r="W234" s="62"/>
      <c r="X234" s="74"/>
      <c r="Y234" s="73"/>
      <c r="Z234" s="73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</row>
    <row r="235" spans="1:95" s="224" customFormat="1" ht="15.75">
      <c r="A235" s="210">
        <v>1</v>
      </c>
      <c r="B235" s="211" t="s">
        <v>351</v>
      </c>
      <c r="C235" s="215" t="s">
        <v>36</v>
      </c>
      <c r="D235" s="216" t="s">
        <v>224</v>
      </c>
      <c r="E235" s="215">
        <v>2017</v>
      </c>
      <c r="F235" s="214">
        <v>2017</v>
      </c>
      <c r="G235" s="375">
        <f>15.4*1.18</f>
        <v>18.172</v>
      </c>
      <c r="H235" s="218"/>
      <c r="I235" s="217"/>
      <c r="J235" s="361"/>
      <c r="K235" s="219"/>
      <c r="L235" s="220"/>
      <c r="M235" s="221" t="str">
        <f>D235</f>
        <v>1 шт.</v>
      </c>
      <c r="N235" s="221"/>
      <c r="O235" s="222" t="str">
        <f>M235</f>
        <v>1 шт.</v>
      </c>
      <c r="P235" s="335"/>
      <c r="Q235" s="223"/>
      <c r="R235" s="221"/>
      <c r="S235" s="225"/>
      <c r="T235" s="212">
        <f>G235</f>
        <v>18.172</v>
      </c>
      <c r="U235" s="212">
        <f>H235</f>
        <v>0</v>
      </c>
      <c r="V235" s="307">
        <f>T235</f>
        <v>18.172</v>
      </c>
      <c r="W235" s="213"/>
      <c r="X235" s="72"/>
      <c r="Y235" s="72"/>
      <c r="Z235" s="72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</row>
    <row r="236" spans="1:95" s="9" customFormat="1" ht="15.75">
      <c r="A236" s="36" t="s">
        <v>186</v>
      </c>
      <c r="B236" s="94" t="s">
        <v>39</v>
      </c>
      <c r="C236" s="43"/>
      <c r="D236" s="41"/>
      <c r="E236" s="43"/>
      <c r="F236" s="41"/>
      <c r="G236" s="135">
        <f>SUM(G237:G237)</f>
        <v>0</v>
      </c>
      <c r="H236" s="3"/>
      <c r="I236" s="4"/>
      <c r="J236" s="362"/>
      <c r="K236" s="3"/>
      <c r="L236" s="3"/>
      <c r="M236" s="3"/>
      <c r="N236" s="3"/>
      <c r="O236" s="154"/>
      <c r="P236" s="161"/>
      <c r="Q236" s="135">
        <f>SUM(Q237:Q237)</f>
        <v>0</v>
      </c>
      <c r="R236" s="8">
        <f>SUM(R237:R237)</f>
        <v>0</v>
      </c>
      <c r="S236" s="8">
        <f>SUM(S237:S237)</f>
        <v>0</v>
      </c>
      <c r="T236" s="8"/>
      <c r="U236" s="8"/>
      <c r="V236" s="129">
        <f>SUM(V237:V237)</f>
        <v>0</v>
      </c>
      <c r="W236" s="62"/>
      <c r="X236" s="74"/>
      <c r="Y236" s="73"/>
      <c r="Z236" s="73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</row>
    <row r="237" spans="1:95" s="2" customFormat="1" ht="15.75">
      <c r="A237" s="83"/>
      <c r="B237" s="99"/>
      <c r="C237" s="120"/>
      <c r="D237" s="106"/>
      <c r="E237" s="120"/>
      <c r="F237" s="106"/>
      <c r="G237" s="136"/>
      <c r="H237" s="16"/>
      <c r="I237" s="35"/>
      <c r="J237" s="85"/>
      <c r="K237" s="16"/>
      <c r="L237" s="16"/>
      <c r="M237" s="16"/>
      <c r="N237" s="16"/>
      <c r="O237" s="162"/>
      <c r="P237" s="343"/>
      <c r="Q237" s="136"/>
      <c r="R237" s="17"/>
      <c r="S237" s="17"/>
      <c r="T237" s="17"/>
      <c r="U237" s="17"/>
      <c r="V237" s="131"/>
      <c r="W237" s="62"/>
      <c r="X237" s="74"/>
      <c r="Y237" s="63"/>
      <c r="Z237" s="6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</row>
    <row r="238" spans="1:95" s="23" customFormat="1" ht="79.5" customHeight="1">
      <c r="A238" s="78" t="s">
        <v>106</v>
      </c>
      <c r="B238" s="101" t="s">
        <v>104</v>
      </c>
      <c r="C238" s="116"/>
      <c r="D238" s="104"/>
      <c r="E238" s="116"/>
      <c r="F238" s="104"/>
      <c r="G238" s="132">
        <f>G239+G251+G262+G273</f>
        <v>178.2661164</v>
      </c>
      <c r="H238" s="10"/>
      <c r="I238" s="117"/>
      <c r="J238" s="359"/>
      <c r="K238" s="10"/>
      <c r="L238" s="10"/>
      <c r="M238" s="10"/>
      <c r="N238" s="10"/>
      <c r="O238" s="312"/>
      <c r="P238" s="146">
        <f>P239+P251+P262</f>
        <v>0</v>
      </c>
      <c r="Q238" s="132">
        <f aca="true" t="shared" si="64" ref="Q238:V238">Q239+Q251+Q262+Q273</f>
        <v>63.059341599999996</v>
      </c>
      <c r="R238" s="112">
        <f t="shared" si="64"/>
        <v>30.3805986</v>
      </c>
      <c r="S238" s="112">
        <f t="shared" si="64"/>
        <v>28.2808712</v>
      </c>
      <c r="T238" s="112">
        <f t="shared" si="64"/>
        <v>18.761999999999997</v>
      </c>
      <c r="U238" s="112">
        <f t="shared" si="64"/>
        <v>37.783305</v>
      </c>
      <c r="V238" s="159">
        <f t="shared" si="64"/>
        <v>178.2661164</v>
      </c>
      <c r="W238" s="62"/>
      <c r="X238" s="74"/>
      <c r="Y238" s="73"/>
      <c r="Z238" s="73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</row>
    <row r="239" spans="1:95" s="28" customFormat="1" ht="15.75">
      <c r="A239" s="79" t="s">
        <v>108</v>
      </c>
      <c r="B239" s="93" t="s">
        <v>78</v>
      </c>
      <c r="C239" s="123"/>
      <c r="D239" s="107"/>
      <c r="E239" s="123"/>
      <c r="F239" s="107"/>
      <c r="G239" s="133">
        <f>G240</f>
        <v>82.60459019999999</v>
      </c>
      <c r="H239" s="113">
        <f aca="true" t="shared" si="65" ref="H239:V239">H240</f>
        <v>0</v>
      </c>
      <c r="I239" s="144">
        <f t="shared" si="65"/>
        <v>0</v>
      </c>
      <c r="J239" s="113">
        <f t="shared" si="65"/>
        <v>0</v>
      </c>
      <c r="K239" s="113">
        <f t="shared" si="65"/>
        <v>0</v>
      </c>
      <c r="L239" s="113">
        <f t="shared" si="65"/>
        <v>0</v>
      </c>
      <c r="M239" s="113">
        <f t="shared" si="65"/>
        <v>0</v>
      </c>
      <c r="N239" s="113">
        <f t="shared" si="65"/>
        <v>0</v>
      </c>
      <c r="O239" s="315">
        <f t="shared" si="65"/>
        <v>0</v>
      </c>
      <c r="P239" s="333">
        <f t="shared" si="65"/>
        <v>0</v>
      </c>
      <c r="Q239" s="133">
        <f t="shared" si="65"/>
        <v>27.899093999999998</v>
      </c>
      <c r="R239" s="113">
        <f t="shared" si="65"/>
        <v>6.40032</v>
      </c>
      <c r="S239" s="113">
        <f t="shared" si="65"/>
        <v>28.2808712</v>
      </c>
      <c r="T239" s="113">
        <f t="shared" si="65"/>
        <v>0.354</v>
      </c>
      <c r="U239" s="113">
        <f t="shared" si="65"/>
        <v>19.670305</v>
      </c>
      <c r="V239" s="144">
        <f t="shared" si="65"/>
        <v>82.60459019999999</v>
      </c>
      <c r="W239" s="62"/>
      <c r="X239" s="73"/>
      <c r="Y239" s="73"/>
      <c r="Z239" s="73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</row>
    <row r="240" spans="1:95" s="28" customFormat="1" ht="15.75">
      <c r="A240" s="36" t="s">
        <v>109</v>
      </c>
      <c r="B240" s="92" t="s">
        <v>35</v>
      </c>
      <c r="C240" s="43"/>
      <c r="D240" s="41"/>
      <c r="E240" s="43"/>
      <c r="F240" s="41"/>
      <c r="G240" s="135">
        <f>SUM(G241:G250)</f>
        <v>82.60459019999999</v>
      </c>
      <c r="H240" s="3"/>
      <c r="I240" s="4"/>
      <c r="J240" s="362"/>
      <c r="K240" s="3"/>
      <c r="L240" s="3"/>
      <c r="M240" s="3"/>
      <c r="N240" s="3"/>
      <c r="O240" s="154"/>
      <c r="P240" s="161">
        <f>SUM(P241:P249)</f>
        <v>0</v>
      </c>
      <c r="Q240" s="135">
        <f aca="true" t="shared" si="66" ref="Q240:V240">SUM(Q241:Q250)</f>
        <v>27.899093999999998</v>
      </c>
      <c r="R240" s="135">
        <f t="shared" si="66"/>
        <v>6.40032</v>
      </c>
      <c r="S240" s="135">
        <f t="shared" si="66"/>
        <v>28.2808712</v>
      </c>
      <c r="T240" s="135">
        <f t="shared" si="66"/>
        <v>0.354</v>
      </c>
      <c r="U240" s="135">
        <f t="shared" si="66"/>
        <v>19.670305</v>
      </c>
      <c r="V240" s="329">
        <f t="shared" si="66"/>
        <v>82.60459019999999</v>
      </c>
      <c r="W240" s="62"/>
      <c r="X240" s="73"/>
      <c r="Y240" s="73"/>
      <c r="Z240" s="73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</row>
    <row r="241" spans="1:95" s="263" customFormat="1" ht="38.25" customHeight="1">
      <c r="A241" s="259">
        <v>1</v>
      </c>
      <c r="B241" s="242" t="s">
        <v>203</v>
      </c>
      <c r="C241" s="243" t="s">
        <v>36</v>
      </c>
      <c r="D241" s="244" t="s">
        <v>180</v>
      </c>
      <c r="E241" s="243">
        <v>2014</v>
      </c>
      <c r="F241" s="244">
        <v>2014</v>
      </c>
      <c r="G241" s="257">
        <f>2.90386*1.18</f>
        <v>3.4265548</v>
      </c>
      <c r="H241" s="247"/>
      <c r="I241" s="245"/>
      <c r="J241" s="277" t="str">
        <f aca="true" t="shared" si="67" ref="J241:J247">D241</f>
        <v>2х0,88</v>
      </c>
      <c r="K241" s="247"/>
      <c r="L241" s="247"/>
      <c r="M241" s="247"/>
      <c r="N241" s="247"/>
      <c r="O241" s="256" t="str">
        <f aca="true" t="shared" si="68" ref="O241:O246">D241</f>
        <v>2х0,88</v>
      </c>
      <c r="P241" s="336"/>
      <c r="Q241" s="257">
        <f aca="true" t="shared" si="69" ref="Q241:Q247">G241</f>
        <v>3.4265548</v>
      </c>
      <c r="R241" s="249"/>
      <c r="S241" s="249"/>
      <c r="T241" s="249"/>
      <c r="U241" s="249"/>
      <c r="V241" s="250">
        <f aca="true" t="shared" si="70" ref="V241:V247">T241+S241+R241+Q241+P241</f>
        <v>3.4265548</v>
      </c>
      <c r="W241" s="251"/>
      <c r="X241" s="261"/>
      <c r="Y241" s="261"/>
      <c r="Z241" s="261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262"/>
      <c r="AM241" s="262"/>
      <c r="AN241" s="262"/>
      <c r="AO241" s="262"/>
      <c r="AP241" s="262"/>
      <c r="AQ241" s="262"/>
      <c r="AR241" s="262"/>
      <c r="AS241" s="262"/>
      <c r="AT241" s="262"/>
      <c r="AU241" s="262"/>
      <c r="AV241" s="262"/>
      <c r="AW241" s="262"/>
      <c r="AX241" s="262"/>
      <c r="AY241" s="262"/>
      <c r="AZ241" s="262"/>
      <c r="BA241" s="262"/>
      <c r="BB241" s="262"/>
      <c r="BC241" s="262"/>
      <c r="BD241" s="262"/>
      <c r="BE241" s="262"/>
      <c r="BF241" s="262"/>
      <c r="BG241" s="262"/>
      <c r="BH241" s="262"/>
      <c r="BI241" s="262"/>
      <c r="BJ241" s="262"/>
      <c r="BK241" s="262"/>
      <c r="BL241" s="262"/>
      <c r="BM241" s="262"/>
      <c r="BN241" s="262"/>
      <c r="BO241" s="262"/>
      <c r="BP241" s="262"/>
      <c r="BQ241" s="262"/>
      <c r="BR241" s="262"/>
      <c r="BS241" s="262"/>
      <c r="BT241" s="262"/>
      <c r="BU241" s="262"/>
      <c r="BV241" s="262"/>
      <c r="BW241" s="262"/>
      <c r="BX241" s="262"/>
      <c r="BY241" s="262"/>
      <c r="BZ241" s="262"/>
      <c r="CA241" s="262"/>
      <c r="CB241" s="262"/>
      <c r="CC241" s="262"/>
      <c r="CD241" s="262"/>
      <c r="CE241" s="262"/>
      <c r="CF241" s="262"/>
      <c r="CG241" s="262"/>
      <c r="CH241" s="262"/>
      <c r="CI241" s="262"/>
      <c r="CJ241" s="262"/>
      <c r="CK241" s="262"/>
      <c r="CL241" s="262"/>
      <c r="CM241" s="262"/>
      <c r="CN241" s="262"/>
      <c r="CO241" s="262"/>
      <c r="CP241" s="262"/>
      <c r="CQ241" s="262"/>
    </row>
    <row r="242" spans="1:26" s="253" customFormat="1" ht="52.5" customHeight="1">
      <c r="A242" s="259">
        <f>A241+1</f>
        <v>2</v>
      </c>
      <c r="B242" s="264" t="s">
        <v>240</v>
      </c>
      <c r="C242" s="265" t="s">
        <v>36</v>
      </c>
      <c r="D242" s="266" t="s">
        <v>246</v>
      </c>
      <c r="E242" s="243">
        <v>2014</v>
      </c>
      <c r="F242" s="244">
        <v>2014</v>
      </c>
      <c r="G242" s="350">
        <f>4.22795*1.18</f>
        <v>4.988981</v>
      </c>
      <c r="H242" s="267"/>
      <c r="I242" s="268"/>
      <c r="J242" s="277" t="str">
        <f t="shared" si="67"/>
        <v>4х0,967км</v>
      </c>
      <c r="K242" s="267"/>
      <c r="L242" s="267"/>
      <c r="M242" s="267"/>
      <c r="N242" s="267"/>
      <c r="O242" s="256" t="str">
        <f t="shared" si="68"/>
        <v>4х0,967км</v>
      </c>
      <c r="P242" s="336"/>
      <c r="Q242" s="257">
        <f t="shared" si="69"/>
        <v>4.988981</v>
      </c>
      <c r="R242" s="269"/>
      <c r="S242" s="269"/>
      <c r="T242" s="269"/>
      <c r="U242" s="269"/>
      <c r="V242" s="250">
        <f t="shared" si="70"/>
        <v>4.988981</v>
      </c>
      <c r="W242" s="251"/>
      <c r="X242" s="252"/>
      <c r="Y242" s="252"/>
      <c r="Z242" s="252"/>
    </row>
    <row r="243" spans="1:26" s="253" customFormat="1" ht="52.5" customHeight="1">
      <c r="A243" s="259">
        <f aca="true" t="shared" si="71" ref="A243:A250">A242+1</f>
        <v>3</v>
      </c>
      <c r="B243" s="264" t="s">
        <v>276</v>
      </c>
      <c r="C243" s="265" t="s">
        <v>36</v>
      </c>
      <c r="D243" s="266" t="s">
        <v>241</v>
      </c>
      <c r="E243" s="243">
        <v>2014</v>
      </c>
      <c r="F243" s="244">
        <v>2014</v>
      </c>
      <c r="G243" s="350">
        <f>1.93594*1.18</f>
        <v>2.2844092</v>
      </c>
      <c r="H243" s="267"/>
      <c r="I243" s="268"/>
      <c r="J243" s="277" t="str">
        <f t="shared" si="67"/>
        <v>4х0,433км </v>
      </c>
      <c r="K243" s="267"/>
      <c r="L243" s="267"/>
      <c r="M243" s="267"/>
      <c r="N243" s="267"/>
      <c r="O243" s="256" t="str">
        <f>D243</f>
        <v>4х0,433км </v>
      </c>
      <c r="P243" s="336"/>
      <c r="Q243" s="257">
        <f t="shared" si="69"/>
        <v>2.2844092</v>
      </c>
      <c r="R243" s="269"/>
      <c r="S243" s="269"/>
      <c r="T243" s="269"/>
      <c r="U243" s="269"/>
      <c r="V243" s="250">
        <f t="shared" si="70"/>
        <v>2.2844092</v>
      </c>
      <c r="W243" s="251"/>
      <c r="X243" s="252"/>
      <c r="Y243" s="252"/>
      <c r="Z243" s="252"/>
    </row>
    <row r="244" spans="1:95" s="163" customFormat="1" ht="54" customHeight="1">
      <c r="A244" s="259">
        <f t="shared" si="71"/>
        <v>4</v>
      </c>
      <c r="B244" s="91" t="s">
        <v>277</v>
      </c>
      <c r="C244" s="121" t="s">
        <v>36</v>
      </c>
      <c r="D244" s="50" t="s">
        <v>278</v>
      </c>
      <c r="E244" s="121">
        <v>2016</v>
      </c>
      <c r="F244" s="58">
        <v>2016</v>
      </c>
      <c r="G244" s="352">
        <f>23.96684*1.18</f>
        <v>28.2808712</v>
      </c>
      <c r="H244" s="49"/>
      <c r="I244" s="122"/>
      <c r="J244" s="86"/>
      <c r="K244" s="60"/>
      <c r="L244" s="50" t="str">
        <f>D244</f>
        <v>4х1,97 км; 2х0,15 км;</v>
      </c>
      <c r="M244" s="59"/>
      <c r="N244" s="59"/>
      <c r="O244" s="60" t="str">
        <f>D244</f>
        <v>4х1,97 км; 2х0,15 км;</v>
      </c>
      <c r="P244" s="302"/>
      <c r="Q244" s="137"/>
      <c r="R244" s="59"/>
      <c r="S244" s="150">
        <f>G244</f>
        <v>28.2808712</v>
      </c>
      <c r="T244" s="17"/>
      <c r="U244" s="17"/>
      <c r="V244" s="131">
        <f>SUM(P244:T244)</f>
        <v>28.2808712</v>
      </c>
      <c r="W244" s="62"/>
      <c r="X244" s="63"/>
      <c r="Y244" s="63"/>
      <c r="Z244" s="6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</row>
    <row r="245" spans="1:26" s="253" customFormat="1" ht="31.5">
      <c r="A245" s="259">
        <f t="shared" si="71"/>
        <v>5</v>
      </c>
      <c r="B245" s="264" t="s">
        <v>122</v>
      </c>
      <c r="C245" s="265" t="s">
        <v>36</v>
      </c>
      <c r="D245" s="266" t="s">
        <v>123</v>
      </c>
      <c r="E245" s="243">
        <v>2014</v>
      </c>
      <c r="F245" s="244">
        <v>2014</v>
      </c>
      <c r="G245" s="350">
        <f>3.03208*1.18</f>
        <v>3.5778544</v>
      </c>
      <c r="H245" s="267"/>
      <c r="I245" s="268"/>
      <c r="J245" s="277" t="str">
        <f t="shared" si="67"/>
        <v>2х0,87 км</v>
      </c>
      <c r="K245" s="267"/>
      <c r="L245" s="267"/>
      <c r="M245" s="267"/>
      <c r="N245" s="267"/>
      <c r="O245" s="256" t="str">
        <f t="shared" si="68"/>
        <v>2х0,87 км</v>
      </c>
      <c r="P245" s="336"/>
      <c r="Q245" s="257">
        <f t="shared" si="69"/>
        <v>3.5778544</v>
      </c>
      <c r="R245" s="269"/>
      <c r="S245" s="269"/>
      <c r="T245" s="269"/>
      <c r="U245" s="269"/>
      <c r="V245" s="250">
        <f t="shared" si="70"/>
        <v>3.5778544</v>
      </c>
      <c r="W245" s="251"/>
      <c r="X245" s="252"/>
      <c r="Y245" s="252"/>
      <c r="Z245" s="252"/>
    </row>
    <row r="246" spans="1:26" s="253" customFormat="1" ht="42.75" customHeight="1">
      <c r="A246" s="259">
        <f t="shared" si="71"/>
        <v>6</v>
      </c>
      <c r="B246" s="264" t="s">
        <v>164</v>
      </c>
      <c r="C246" s="265" t="s">
        <v>36</v>
      </c>
      <c r="D246" s="266" t="s">
        <v>181</v>
      </c>
      <c r="E246" s="243">
        <v>2014</v>
      </c>
      <c r="F246" s="244">
        <v>2014</v>
      </c>
      <c r="G246" s="350">
        <f>3.80626*1.18</f>
        <v>4.4913868</v>
      </c>
      <c r="H246" s="267"/>
      <c r="I246" s="268"/>
      <c r="J246" s="277" t="str">
        <f t="shared" si="67"/>
        <v>2х1,52 км</v>
      </c>
      <c r="K246" s="267"/>
      <c r="L246" s="267"/>
      <c r="M246" s="267"/>
      <c r="N246" s="267"/>
      <c r="O246" s="256" t="str">
        <f t="shared" si="68"/>
        <v>2х1,52 км</v>
      </c>
      <c r="P246" s="336"/>
      <c r="Q246" s="257">
        <f t="shared" si="69"/>
        <v>4.4913868</v>
      </c>
      <c r="R246" s="270"/>
      <c r="S246" s="269"/>
      <c r="T246" s="269"/>
      <c r="U246" s="269"/>
      <c r="V246" s="250">
        <f t="shared" si="70"/>
        <v>4.4913868</v>
      </c>
      <c r="W246" s="251"/>
      <c r="X246" s="252"/>
      <c r="Y246" s="252"/>
      <c r="Z246" s="252"/>
    </row>
    <row r="247" spans="1:26" s="253" customFormat="1" ht="42.75" customHeight="1">
      <c r="A247" s="259">
        <f t="shared" si="71"/>
        <v>7</v>
      </c>
      <c r="B247" s="264" t="s">
        <v>247</v>
      </c>
      <c r="C247" s="265" t="s">
        <v>36</v>
      </c>
      <c r="D247" s="266" t="s">
        <v>248</v>
      </c>
      <c r="E247" s="243">
        <v>2014</v>
      </c>
      <c r="F247" s="244">
        <v>2014</v>
      </c>
      <c r="G247" s="350">
        <f>7.73721*1.18</f>
        <v>9.1299078</v>
      </c>
      <c r="H247" s="267"/>
      <c r="I247" s="268"/>
      <c r="J247" s="277" t="str">
        <f t="shared" si="67"/>
        <v>4х1,3 км</v>
      </c>
      <c r="K247" s="267"/>
      <c r="L247" s="267"/>
      <c r="M247" s="267"/>
      <c r="N247" s="267"/>
      <c r="O247" s="256" t="str">
        <f>D247</f>
        <v>4х1,3 км</v>
      </c>
      <c r="P247" s="336"/>
      <c r="Q247" s="257">
        <f t="shared" si="69"/>
        <v>9.1299078</v>
      </c>
      <c r="R247" s="270"/>
      <c r="S247" s="269"/>
      <c r="T247" s="269"/>
      <c r="U247" s="269"/>
      <c r="V247" s="250">
        <f t="shared" si="70"/>
        <v>9.1299078</v>
      </c>
      <c r="W247" s="251"/>
      <c r="X247" s="252"/>
      <c r="Y247" s="252"/>
      <c r="Z247" s="252"/>
    </row>
    <row r="248" spans="1:95" s="200" customFormat="1" ht="31.5">
      <c r="A248" s="259">
        <f t="shared" si="71"/>
        <v>8</v>
      </c>
      <c r="B248" s="179" t="s">
        <v>260</v>
      </c>
      <c r="C248" s="188" t="s">
        <v>36</v>
      </c>
      <c r="D248" s="198" t="s">
        <v>261</v>
      </c>
      <c r="E248" s="188">
        <v>2015</v>
      </c>
      <c r="F248" s="198">
        <v>2015</v>
      </c>
      <c r="G248" s="349">
        <f>5.424*1.18</f>
        <v>6.40032</v>
      </c>
      <c r="H248" s="191"/>
      <c r="I248" s="190"/>
      <c r="J248" s="299"/>
      <c r="K248" s="191" t="str">
        <f>D248</f>
        <v>4х0,66 км</v>
      </c>
      <c r="L248" s="191"/>
      <c r="M248" s="191"/>
      <c r="N248" s="191"/>
      <c r="O248" s="298" t="str">
        <f>D248</f>
        <v>4х0,66 км</v>
      </c>
      <c r="P248" s="301"/>
      <c r="Q248" s="188"/>
      <c r="R248" s="184">
        <f>G248</f>
        <v>6.40032</v>
      </c>
      <c r="S248" s="191"/>
      <c r="T248" s="191"/>
      <c r="U248" s="191"/>
      <c r="V248" s="194">
        <f>SUM(P248:S248)</f>
        <v>6.40032</v>
      </c>
      <c r="W248" s="195"/>
      <c r="X248" s="199"/>
      <c r="Y248" s="185"/>
      <c r="Z248" s="185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  <c r="BH248" s="186"/>
      <c r="BI248" s="186"/>
      <c r="BJ248" s="186"/>
      <c r="BK248" s="186"/>
      <c r="BL248" s="186"/>
      <c r="BM248" s="186"/>
      <c r="BN248" s="186"/>
      <c r="BO248" s="186"/>
      <c r="BP248" s="186"/>
      <c r="BQ248" s="186"/>
      <c r="BR248" s="186"/>
      <c r="BS248" s="186"/>
      <c r="BT248" s="186"/>
      <c r="BU248" s="186"/>
      <c r="BV248" s="186"/>
      <c r="BW248" s="186"/>
      <c r="BX248" s="186"/>
      <c r="BY248" s="186"/>
      <c r="BZ248" s="186"/>
      <c r="CA248" s="186"/>
      <c r="CB248" s="186"/>
      <c r="CC248" s="186"/>
      <c r="CD248" s="186"/>
      <c r="CE248" s="186"/>
      <c r="CF248" s="186"/>
      <c r="CG248" s="186"/>
      <c r="CH248" s="186"/>
      <c r="CI248" s="186"/>
      <c r="CJ248" s="186"/>
      <c r="CK248" s="186"/>
      <c r="CL248" s="186"/>
      <c r="CM248" s="186"/>
      <c r="CN248" s="186"/>
      <c r="CO248" s="186"/>
      <c r="CP248" s="186"/>
      <c r="CQ248" s="186"/>
    </row>
    <row r="249" spans="1:95" s="224" customFormat="1" ht="31.5">
      <c r="A249" s="259">
        <f t="shared" si="71"/>
        <v>9</v>
      </c>
      <c r="B249" s="304" t="s">
        <v>297</v>
      </c>
      <c r="C249" s="215" t="s">
        <v>59</v>
      </c>
      <c r="D249" s="214" t="s">
        <v>298</v>
      </c>
      <c r="E249" s="215">
        <v>2017</v>
      </c>
      <c r="F249" s="214">
        <v>2017</v>
      </c>
      <c r="G249" s="375">
        <f>0.3*1.18</f>
        <v>0.354</v>
      </c>
      <c r="H249" s="218"/>
      <c r="I249" s="217"/>
      <c r="J249" s="361"/>
      <c r="K249" s="219"/>
      <c r="L249" s="220"/>
      <c r="M249" s="221" t="str">
        <f>D249</f>
        <v>2х2,46 км</v>
      </c>
      <c r="N249" s="221"/>
      <c r="O249" s="222" t="str">
        <f>M249</f>
        <v>2х2,46 км</v>
      </c>
      <c r="P249" s="335"/>
      <c r="Q249" s="223"/>
      <c r="R249" s="221"/>
      <c r="S249" s="225"/>
      <c r="T249" s="212">
        <f>G249</f>
        <v>0.354</v>
      </c>
      <c r="U249" s="212"/>
      <c r="V249" s="307">
        <f>T249</f>
        <v>0.354</v>
      </c>
      <c r="W249" s="213"/>
      <c r="X249" s="72"/>
      <c r="Y249" s="72"/>
      <c r="Z249" s="72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</row>
    <row r="250" spans="1:95" s="236" customFormat="1" ht="31.5">
      <c r="A250" s="259">
        <f t="shared" si="71"/>
        <v>10</v>
      </c>
      <c r="B250" s="309" t="s">
        <v>297</v>
      </c>
      <c r="C250" s="226" t="s">
        <v>36</v>
      </c>
      <c r="D250" s="227" t="s">
        <v>298</v>
      </c>
      <c r="E250" s="226">
        <v>2018</v>
      </c>
      <c r="F250" s="310">
        <v>2018</v>
      </c>
      <c r="G250" s="376">
        <f>16.66975*1.18</f>
        <v>19.670305</v>
      </c>
      <c r="H250" s="229"/>
      <c r="I250" s="228"/>
      <c r="J250" s="363"/>
      <c r="K250" s="230"/>
      <c r="L250" s="231"/>
      <c r="M250" s="232"/>
      <c r="N250" s="232" t="str">
        <f>D250</f>
        <v>2х2,46 км</v>
      </c>
      <c r="O250" s="233" t="str">
        <f>D250</f>
        <v>2х2,46 км</v>
      </c>
      <c r="P250" s="337"/>
      <c r="Q250" s="234"/>
      <c r="R250" s="232"/>
      <c r="S250" s="235"/>
      <c r="T250" s="206"/>
      <c r="U250" s="206">
        <f>G250</f>
        <v>19.670305</v>
      </c>
      <c r="V250" s="308">
        <f>SUM(Q250:U250)</f>
        <v>19.670305</v>
      </c>
      <c r="W250" s="207"/>
      <c r="X250" s="208"/>
      <c r="Y250" s="208"/>
      <c r="Z250" s="208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09"/>
      <c r="BK250" s="209"/>
      <c r="BL250" s="209"/>
      <c r="BM250" s="209"/>
      <c r="BN250" s="209"/>
      <c r="BO250" s="209"/>
      <c r="BP250" s="209"/>
      <c r="BQ250" s="209"/>
      <c r="BR250" s="209"/>
      <c r="BS250" s="209"/>
      <c r="BT250" s="209"/>
      <c r="BU250" s="209"/>
      <c r="BV250" s="209"/>
      <c r="BW250" s="209"/>
      <c r="BX250" s="209"/>
      <c r="BY250" s="209"/>
      <c r="BZ250" s="20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</row>
    <row r="251" spans="1:95" s="28" customFormat="1" ht="21" customHeight="1">
      <c r="A251" s="79" t="s">
        <v>110</v>
      </c>
      <c r="B251" s="88" t="s">
        <v>152</v>
      </c>
      <c r="C251" s="123"/>
      <c r="D251" s="107"/>
      <c r="E251" s="123"/>
      <c r="F251" s="107"/>
      <c r="G251" s="133">
        <f>G252+G260</f>
        <v>83.98771539999998</v>
      </c>
      <c r="H251" s="12"/>
      <c r="I251" s="124"/>
      <c r="J251" s="364"/>
      <c r="K251" s="12"/>
      <c r="L251" s="12"/>
      <c r="M251" s="12"/>
      <c r="N251" s="12"/>
      <c r="O251" s="314"/>
      <c r="P251" s="333">
        <f>P252</f>
        <v>0</v>
      </c>
      <c r="Q251" s="133">
        <f aca="true" t="shared" si="72" ref="Q251:V251">Q252+Q260</f>
        <v>29.766715399999995</v>
      </c>
      <c r="R251" s="113">
        <f t="shared" si="72"/>
        <v>17.7</v>
      </c>
      <c r="S251" s="113">
        <f t="shared" si="72"/>
        <v>0</v>
      </c>
      <c r="T251" s="113">
        <f t="shared" si="72"/>
        <v>18.407999999999998</v>
      </c>
      <c r="U251" s="113">
        <f t="shared" si="72"/>
        <v>18.113</v>
      </c>
      <c r="V251" s="144">
        <f t="shared" si="72"/>
        <v>83.98771539999998</v>
      </c>
      <c r="W251" s="62"/>
      <c r="X251" s="73"/>
      <c r="Y251" s="73"/>
      <c r="Z251" s="73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</row>
    <row r="252" spans="1:95" s="28" customFormat="1" ht="15.75">
      <c r="A252" s="36" t="s">
        <v>137</v>
      </c>
      <c r="B252" s="94" t="s">
        <v>35</v>
      </c>
      <c r="C252" s="43"/>
      <c r="D252" s="41"/>
      <c r="E252" s="43"/>
      <c r="F252" s="41"/>
      <c r="G252" s="135">
        <f>SUM(G253:G259)</f>
        <v>83.72811539999998</v>
      </c>
      <c r="H252" s="3"/>
      <c r="I252" s="4"/>
      <c r="J252" s="362"/>
      <c r="K252" s="3"/>
      <c r="L252" s="3"/>
      <c r="M252" s="3"/>
      <c r="N252" s="3"/>
      <c r="O252" s="154"/>
      <c r="P252" s="161">
        <f>SUM(P255:P255)</f>
        <v>0</v>
      </c>
      <c r="Q252" s="329">
        <f>SUM(Q253:Q256)</f>
        <v>29.507115399999996</v>
      </c>
      <c r="R252" s="129">
        <f>SUM(R255:R255)</f>
        <v>17.7</v>
      </c>
      <c r="S252" s="129">
        <f>SUM(S253:S256)</f>
        <v>0</v>
      </c>
      <c r="T252" s="129">
        <f>SUM(T253:T257)</f>
        <v>18.407999999999998</v>
      </c>
      <c r="U252" s="129">
        <f>SUM(U253:U259)</f>
        <v>18.113</v>
      </c>
      <c r="V252" s="129">
        <f>SUM(V253:V259)</f>
        <v>83.72811539999998</v>
      </c>
      <c r="W252" s="62"/>
      <c r="X252" s="73"/>
      <c r="Y252" s="73"/>
      <c r="Z252" s="73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</row>
    <row r="253" spans="1:95" s="254" customFormat="1" ht="36.75" customHeight="1">
      <c r="A253" s="259">
        <v>1</v>
      </c>
      <c r="B253" s="242" t="s">
        <v>179</v>
      </c>
      <c r="C253" s="243" t="s">
        <v>36</v>
      </c>
      <c r="D253" s="244" t="s">
        <v>101</v>
      </c>
      <c r="E253" s="243">
        <v>2014</v>
      </c>
      <c r="F253" s="244">
        <v>2014</v>
      </c>
      <c r="G253" s="257">
        <f>6.14989*1.18</f>
        <v>7.2568702</v>
      </c>
      <c r="H253" s="247"/>
      <c r="I253" s="245"/>
      <c r="J253" s="277" t="s">
        <v>101</v>
      </c>
      <c r="K253" s="247"/>
      <c r="L253" s="247"/>
      <c r="M253" s="247"/>
      <c r="N253" s="247"/>
      <c r="O253" s="256" t="s">
        <v>101</v>
      </c>
      <c r="P253" s="344"/>
      <c r="Q253" s="257">
        <f>G253</f>
        <v>7.2568702</v>
      </c>
      <c r="R253" s="278"/>
      <c r="S253" s="278"/>
      <c r="T253" s="278"/>
      <c r="U253" s="278"/>
      <c r="V253" s="250">
        <f>SUM(P253:S253)</f>
        <v>7.2568702</v>
      </c>
      <c r="W253" s="251"/>
      <c r="X253" s="279"/>
      <c r="Y253" s="252"/>
      <c r="Z253" s="252"/>
      <c r="AA253" s="253"/>
      <c r="AB253" s="253"/>
      <c r="AC253" s="253"/>
      <c r="AD253" s="253"/>
      <c r="AE253" s="253"/>
      <c r="AF253" s="253"/>
      <c r="AG253" s="253"/>
      <c r="AH253" s="253"/>
      <c r="AI253" s="253"/>
      <c r="AJ253" s="253"/>
      <c r="AK253" s="253"/>
      <c r="AL253" s="253"/>
      <c r="AM253" s="253"/>
      <c r="AN253" s="253"/>
      <c r="AO253" s="253"/>
      <c r="AP253" s="253"/>
      <c r="AQ253" s="253"/>
      <c r="AR253" s="253"/>
      <c r="AS253" s="253"/>
      <c r="AT253" s="253"/>
      <c r="AU253" s="253"/>
      <c r="AV253" s="253"/>
      <c r="AW253" s="253"/>
      <c r="AX253" s="253"/>
      <c r="AY253" s="253"/>
      <c r="AZ253" s="253"/>
      <c r="BA253" s="253"/>
      <c r="BB253" s="253"/>
      <c r="BC253" s="253"/>
      <c r="BD253" s="253"/>
      <c r="BE253" s="253"/>
      <c r="BF253" s="253"/>
      <c r="BG253" s="253"/>
      <c r="BH253" s="253"/>
      <c r="BI253" s="253"/>
      <c r="BJ253" s="253"/>
      <c r="BK253" s="253"/>
      <c r="BL253" s="253"/>
      <c r="BM253" s="253"/>
      <c r="BN253" s="253"/>
      <c r="BO253" s="253"/>
      <c r="BP253" s="253"/>
      <c r="BQ253" s="253"/>
      <c r="BR253" s="253"/>
      <c r="BS253" s="253"/>
      <c r="BT253" s="253"/>
      <c r="BU253" s="253"/>
      <c r="BV253" s="253"/>
      <c r="BW253" s="253"/>
      <c r="BX253" s="253"/>
      <c r="BY253" s="253"/>
      <c r="BZ253" s="253"/>
      <c r="CA253" s="253"/>
      <c r="CB253" s="253"/>
      <c r="CC253" s="253"/>
      <c r="CD253" s="253"/>
      <c r="CE253" s="253"/>
      <c r="CF253" s="253"/>
      <c r="CG253" s="253"/>
      <c r="CH253" s="253"/>
      <c r="CI253" s="253"/>
      <c r="CJ253" s="253"/>
      <c r="CK253" s="253"/>
      <c r="CL253" s="253"/>
      <c r="CM253" s="253"/>
      <c r="CN253" s="253"/>
      <c r="CO253" s="253"/>
      <c r="CP253" s="253"/>
      <c r="CQ253" s="253"/>
    </row>
    <row r="254" spans="1:95" s="275" customFormat="1" ht="15.75">
      <c r="A254" s="259">
        <v>2</v>
      </c>
      <c r="B254" s="242" t="s">
        <v>258</v>
      </c>
      <c r="C254" s="265" t="s">
        <v>36</v>
      </c>
      <c r="D254" s="274" t="s">
        <v>224</v>
      </c>
      <c r="E254" s="265">
        <v>2014</v>
      </c>
      <c r="F254" s="274">
        <v>2014</v>
      </c>
      <c r="G254" s="350">
        <f>18.85614*1.18</f>
        <v>22.2502452</v>
      </c>
      <c r="H254" s="267"/>
      <c r="I254" s="268"/>
      <c r="J254" s="369" t="s">
        <v>58</v>
      </c>
      <c r="K254" s="274"/>
      <c r="L254" s="267"/>
      <c r="M254" s="267"/>
      <c r="N254" s="267"/>
      <c r="O254" s="319" t="s">
        <v>58</v>
      </c>
      <c r="P254" s="336"/>
      <c r="Q254" s="257">
        <f>G254</f>
        <v>22.2502452</v>
      </c>
      <c r="R254" s="260"/>
      <c r="S254" s="260"/>
      <c r="T254" s="260"/>
      <c r="U254" s="260"/>
      <c r="V254" s="250">
        <f>SUM(P254:S254)</f>
        <v>22.2502452</v>
      </c>
      <c r="W254" s="251"/>
      <c r="X254" s="252"/>
      <c r="Y254" s="252"/>
      <c r="Z254" s="252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53"/>
      <c r="AT254" s="253"/>
      <c r="AU254" s="253"/>
      <c r="AV254" s="253"/>
      <c r="AW254" s="253"/>
      <c r="AX254" s="253"/>
      <c r="AY254" s="253"/>
      <c r="AZ254" s="253"/>
      <c r="BA254" s="253"/>
      <c r="BB254" s="253"/>
      <c r="BC254" s="253"/>
      <c r="BD254" s="253"/>
      <c r="BE254" s="253"/>
      <c r="BF254" s="253"/>
      <c r="BG254" s="253"/>
      <c r="BH254" s="253"/>
      <c r="BI254" s="253"/>
      <c r="BJ254" s="253"/>
      <c r="BK254" s="253"/>
      <c r="BL254" s="253"/>
      <c r="BM254" s="253"/>
      <c r="BN254" s="253"/>
      <c r="BO254" s="253"/>
      <c r="BP254" s="253"/>
      <c r="BQ254" s="253"/>
      <c r="BR254" s="253"/>
      <c r="BS254" s="253"/>
      <c r="BT254" s="253"/>
      <c r="BU254" s="253"/>
      <c r="BV254" s="253"/>
      <c r="BW254" s="253"/>
      <c r="BX254" s="253"/>
      <c r="BY254" s="253"/>
      <c r="BZ254" s="253"/>
      <c r="CA254" s="253"/>
      <c r="CB254" s="253"/>
      <c r="CC254" s="253"/>
      <c r="CD254" s="253"/>
      <c r="CE254" s="253"/>
      <c r="CF254" s="253"/>
      <c r="CG254" s="253"/>
      <c r="CH254" s="253"/>
      <c r="CI254" s="253"/>
      <c r="CJ254" s="253"/>
      <c r="CK254" s="253"/>
      <c r="CL254" s="253"/>
      <c r="CM254" s="253"/>
      <c r="CN254" s="253"/>
      <c r="CO254" s="253"/>
      <c r="CP254" s="253"/>
      <c r="CQ254" s="253"/>
    </row>
    <row r="255" spans="1:95" s="200" customFormat="1" ht="15.75">
      <c r="A255" s="259">
        <v>3</v>
      </c>
      <c r="B255" s="179" t="s">
        <v>352</v>
      </c>
      <c r="C255" s="188" t="s">
        <v>36</v>
      </c>
      <c r="D255" s="198">
        <v>1</v>
      </c>
      <c r="E255" s="188">
        <v>2015</v>
      </c>
      <c r="F255" s="198">
        <v>2015</v>
      </c>
      <c r="G255" s="349">
        <f>15*1.18</f>
        <v>17.7</v>
      </c>
      <c r="H255" s="191"/>
      <c r="I255" s="190"/>
      <c r="J255" s="299"/>
      <c r="K255" s="191">
        <f>D255</f>
        <v>1</v>
      </c>
      <c r="L255" s="191"/>
      <c r="M255" s="191"/>
      <c r="N255" s="191"/>
      <c r="O255" s="298">
        <f>D255</f>
        <v>1</v>
      </c>
      <c r="P255" s="301"/>
      <c r="Q255" s="188"/>
      <c r="R255" s="184">
        <f>G255</f>
        <v>17.7</v>
      </c>
      <c r="S255" s="191"/>
      <c r="T255" s="191"/>
      <c r="U255" s="191"/>
      <c r="V255" s="194">
        <f>SUM(P255:S255)</f>
        <v>17.7</v>
      </c>
      <c r="W255" s="195"/>
      <c r="X255" s="199"/>
      <c r="Y255" s="185"/>
      <c r="Z255" s="185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6"/>
      <c r="BW255" s="186"/>
      <c r="BX255" s="186"/>
      <c r="BY255" s="186"/>
      <c r="BZ255" s="186"/>
      <c r="CA255" s="186"/>
      <c r="CB255" s="186"/>
      <c r="CC255" s="186"/>
      <c r="CD255" s="186"/>
      <c r="CE255" s="186"/>
      <c r="CF255" s="186"/>
      <c r="CG255" s="186"/>
      <c r="CH255" s="186"/>
      <c r="CI255" s="186"/>
      <c r="CJ255" s="186"/>
      <c r="CK255" s="186"/>
      <c r="CL255" s="186"/>
      <c r="CM255" s="186"/>
      <c r="CN255" s="186"/>
      <c r="CO255" s="186"/>
      <c r="CP255" s="186"/>
      <c r="CQ255" s="186"/>
    </row>
    <row r="256" spans="1:95" s="224" customFormat="1" ht="31.5">
      <c r="A256" s="259">
        <v>4</v>
      </c>
      <c r="B256" s="304" t="s">
        <v>165</v>
      </c>
      <c r="C256" s="215" t="s">
        <v>36</v>
      </c>
      <c r="D256" s="214" t="s">
        <v>294</v>
      </c>
      <c r="E256" s="215">
        <v>2017</v>
      </c>
      <c r="F256" s="214">
        <v>2017</v>
      </c>
      <c r="G256" s="375">
        <f>15.5*1.18</f>
        <v>18.29</v>
      </c>
      <c r="H256" s="218"/>
      <c r="I256" s="217"/>
      <c r="J256" s="361"/>
      <c r="K256" s="219"/>
      <c r="L256" s="220"/>
      <c r="M256" s="221" t="str">
        <f>D256</f>
        <v>0,8МВА</v>
      </c>
      <c r="N256" s="221"/>
      <c r="O256" s="222" t="str">
        <f>M256</f>
        <v>0,8МВА</v>
      </c>
      <c r="P256" s="335"/>
      <c r="Q256" s="223"/>
      <c r="R256" s="221"/>
      <c r="S256" s="225"/>
      <c r="T256" s="212">
        <f>G256</f>
        <v>18.29</v>
      </c>
      <c r="U256" s="212"/>
      <c r="V256" s="307">
        <f>T256</f>
        <v>18.29</v>
      </c>
      <c r="W256" s="213"/>
      <c r="X256" s="72"/>
      <c r="Y256" s="72"/>
      <c r="Z256" s="72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</row>
    <row r="257" spans="1:95" s="224" customFormat="1" ht="31.5">
      <c r="A257" s="259">
        <v>5</v>
      </c>
      <c r="B257" s="304" t="s">
        <v>306</v>
      </c>
      <c r="C257" s="215" t="s">
        <v>59</v>
      </c>
      <c r="D257" s="214" t="s">
        <v>294</v>
      </c>
      <c r="E257" s="215">
        <v>2017</v>
      </c>
      <c r="F257" s="214">
        <v>2017</v>
      </c>
      <c r="G257" s="375">
        <f>0.1*1.18</f>
        <v>0.118</v>
      </c>
      <c r="H257" s="218"/>
      <c r="I257" s="217"/>
      <c r="J257" s="361"/>
      <c r="K257" s="219"/>
      <c r="L257" s="220"/>
      <c r="M257" s="221" t="str">
        <f>D257</f>
        <v>0,8МВА</v>
      </c>
      <c r="N257" s="221"/>
      <c r="O257" s="222" t="str">
        <f>M257</f>
        <v>0,8МВА</v>
      </c>
      <c r="P257" s="335"/>
      <c r="Q257" s="223"/>
      <c r="R257" s="221"/>
      <c r="S257" s="225"/>
      <c r="T257" s="212">
        <f>G257</f>
        <v>0.118</v>
      </c>
      <c r="U257" s="212"/>
      <c r="V257" s="307">
        <f>T257</f>
        <v>0.118</v>
      </c>
      <c r="W257" s="213"/>
      <c r="X257" s="72"/>
      <c r="Y257" s="72"/>
      <c r="Z257" s="72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</row>
    <row r="258" spans="1:95" s="236" customFormat="1" ht="31.5">
      <c r="A258" s="259">
        <f>A257+1</f>
        <v>6</v>
      </c>
      <c r="B258" s="309" t="s">
        <v>306</v>
      </c>
      <c r="C258" s="226" t="s">
        <v>36</v>
      </c>
      <c r="D258" s="310" t="s">
        <v>294</v>
      </c>
      <c r="E258" s="226">
        <v>2018</v>
      </c>
      <c r="F258" s="310">
        <v>2018</v>
      </c>
      <c r="G258" s="376">
        <f>15*1.18</f>
        <v>17.7</v>
      </c>
      <c r="H258" s="229"/>
      <c r="I258" s="228"/>
      <c r="J258" s="363"/>
      <c r="K258" s="230"/>
      <c r="L258" s="231"/>
      <c r="M258" s="232"/>
      <c r="N258" s="232" t="str">
        <f>D258</f>
        <v>0,8МВА</v>
      </c>
      <c r="O258" s="233" t="str">
        <f>D258</f>
        <v>0,8МВА</v>
      </c>
      <c r="P258" s="337"/>
      <c r="Q258" s="234"/>
      <c r="R258" s="232"/>
      <c r="S258" s="235"/>
      <c r="T258" s="206"/>
      <c r="U258" s="206">
        <f>G258</f>
        <v>17.7</v>
      </c>
      <c r="V258" s="308">
        <f>SUM(Q258:U258)</f>
        <v>17.7</v>
      </c>
      <c r="W258" s="207"/>
      <c r="X258" s="208"/>
      <c r="Y258" s="208"/>
      <c r="Z258" s="208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09"/>
      <c r="BK258" s="209"/>
      <c r="BL258" s="209"/>
      <c r="BM258" s="209"/>
      <c r="BN258" s="209"/>
      <c r="BO258" s="209"/>
      <c r="BP258" s="209"/>
      <c r="BQ258" s="209"/>
      <c r="BR258" s="209"/>
      <c r="BS258" s="209"/>
      <c r="BT258" s="209"/>
      <c r="BU258" s="209"/>
      <c r="BV258" s="209"/>
      <c r="BW258" s="209"/>
      <c r="BX258" s="209"/>
      <c r="BY258" s="209"/>
      <c r="BZ258" s="20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</row>
    <row r="259" spans="1:95" s="236" customFormat="1" ht="15.75">
      <c r="A259" s="259">
        <f>A258+1</f>
        <v>7</v>
      </c>
      <c r="B259" s="309" t="s">
        <v>216</v>
      </c>
      <c r="C259" s="226" t="s">
        <v>36</v>
      </c>
      <c r="D259" s="310" t="s">
        <v>224</v>
      </c>
      <c r="E259" s="226">
        <v>2018</v>
      </c>
      <c r="F259" s="310">
        <v>2018</v>
      </c>
      <c r="G259" s="376">
        <f>0.35*1.18</f>
        <v>0.413</v>
      </c>
      <c r="H259" s="229"/>
      <c r="I259" s="228"/>
      <c r="J259" s="363"/>
      <c r="K259" s="230"/>
      <c r="L259" s="231"/>
      <c r="M259" s="232"/>
      <c r="N259" s="232" t="str">
        <f>D259</f>
        <v>1 шт.</v>
      </c>
      <c r="O259" s="233" t="str">
        <f>D259</f>
        <v>1 шт.</v>
      </c>
      <c r="P259" s="337"/>
      <c r="Q259" s="234"/>
      <c r="R259" s="232"/>
      <c r="S259" s="235"/>
      <c r="T259" s="206"/>
      <c r="U259" s="206">
        <f>G259</f>
        <v>0.413</v>
      </c>
      <c r="V259" s="308">
        <f>SUM(Q259:U259)</f>
        <v>0.413</v>
      </c>
      <c r="W259" s="207"/>
      <c r="X259" s="208"/>
      <c r="Y259" s="208"/>
      <c r="Z259" s="208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  <c r="BZ259" s="20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</row>
    <row r="260" spans="1:95" s="28" customFormat="1" ht="15.75">
      <c r="A260" s="36" t="s">
        <v>255</v>
      </c>
      <c r="B260" s="94" t="s">
        <v>69</v>
      </c>
      <c r="C260" s="43"/>
      <c r="D260" s="41"/>
      <c r="E260" s="43"/>
      <c r="F260" s="41"/>
      <c r="G260" s="135">
        <f>SUM(G261:G261)</f>
        <v>0.2596</v>
      </c>
      <c r="H260" s="3"/>
      <c r="I260" s="4"/>
      <c r="J260" s="362"/>
      <c r="K260" s="3"/>
      <c r="L260" s="3"/>
      <c r="M260" s="3"/>
      <c r="N260" s="3"/>
      <c r="O260" s="154"/>
      <c r="P260" s="161" t="e">
        <f>SUM(#REF!)</f>
        <v>#REF!</v>
      </c>
      <c r="Q260" s="329">
        <f aca="true" t="shared" si="73" ref="Q260:V260">SUM(Q261:Q261)</f>
        <v>0.2596</v>
      </c>
      <c r="R260" s="129">
        <f t="shared" si="73"/>
        <v>0</v>
      </c>
      <c r="S260" s="129">
        <f t="shared" si="73"/>
        <v>0</v>
      </c>
      <c r="T260" s="129">
        <f t="shared" si="73"/>
        <v>0</v>
      </c>
      <c r="U260" s="129">
        <f t="shared" si="73"/>
        <v>0</v>
      </c>
      <c r="V260" s="129">
        <f t="shared" si="73"/>
        <v>0.2596</v>
      </c>
      <c r="W260" s="62"/>
      <c r="X260" s="73"/>
      <c r="Y260" s="73"/>
      <c r="Z260" s="73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</row>
    <row r="261" spans="1:95" s="254" customFormat="1" ht="36.75" customHeight="1">
      <c r="A261" s="259">
        <v>1</v>
      </c>
      <c r="B261" s="242" t="s">
        <v>256</v>
      </c>
      <c r="C261" s="243" t="s">
        <v>36</v>
      </c>
      <c r="D261" s="244" t="s">
        <v>257</v>
      </c>
      <c r="E261" s="243">
        <v>2014</v>
      </c>
      <c r="F261" s="244">
        <v>2014</v>
      </c>
      <c r="G261" s="257">
        <f>0.22*1.18</f>
        <v>0.2596</v>
      </c>
      <c r="H261" s="247"/>
      <c r="I261" s="245"/>
      <c r="J261" s="277" t="str">
        <f>D261</f>
        <v>0,25 Мва</v>
      </c>
      <c r="K261" s="247"/>
      <c r="L261" s="247"/>
      <c r="M261" s="247"/>
      <c r="N261" s="247"/>
      <c r="O261" s="256" t="str">
        <f>D261</f>
        <v>0,25 Мва</v>
      </c>
      <c r="P261" s="344"/>
      <c r="Q261" s="257">
        <f>G261</f>
        <v>0.2596</v>
      </c>
      <c r="R261" s="278"/>
      <c r="S261" s="278"/>
      <c r="T261" s="278"/>
      <c r="U261" s="278"/>
      <c r="V261" s="250">
        <f>SUM(P261:S261)</f>
        <v>0.2596</v>
      </c>
      <c r="W261" s="251"/>
      <c r="X261" s="279"/>
      <c r="Y261" s="252"/>
      <c r="Z261" s="252"/>
      <c r="AA261" s="253"/>
      <c r="AB261" s="253"/>
      <c r="AC261" s="253"/>
      <c r="AD261" s="253"/>
      <c r="AE261" s="253"/>
      <c r="AF261" s="253"/>
      <c r="AG261" s="253"/>
      <c r="AH261" s="253"/>
      <c r="AI261" s="253"/>
      <c r="AJ261" s="253"/>
      <c r="AK261" s="253"/>
      <c r="AL261" s="253"/>
      <c r="AM261" s="253"/>
      <c r="AN261" s="253"/>
      <c r="AO261" s="253"/>
      <c r="AP261" s="253"/>
      <c r="AQ261" s="253"/>
      <c r="AR261" s="253"/>
      <c r="AS261" s="253"/>
      <c r="AT261" s="253"/>
      <c r="AU261" s="253"/>
      <c r="AV261" s="253"/>
      <c r="AW261" s="253"/>
      <c r="AX261" s="253"/>
      <c r="AY261" s="253"/>
      <c r="AZ261" s="253"/>
      <c r="BA261" s="253"/>
      <c r="BB261" s="253"/>
      <c r="BC261" s="253"/>
      <c r="BD261" s="253"/>
      <c r="BE261" s="253"/>
      <c r="BF261" s="253"/>
      <c r="BG261" s="253"/>
      <c r="BH261" s="253"/>
      <c r="BI261" s="253"/>
      <c r="BJ261" s="253"/>
      <c r="BK261" s="253"/>
      <c r="BL261" s="253"/>
      <c r="BM261" s="253"/>
      <c r="BN261" s="253"/>
      <c r="BO261" s="253"/>
      <c r="BP261" s="253"/>
      <c r="BQ261" s="253"/>
      <c r="BR261" s="253"/>
      <c r="BS261" s="253"/>
      <c r="BT261" s="253"/>
      <c r="BU261" s="253"/>
      <c r="BV261" s="253"/>
      <c r="BW261" s="253"/>
      <c r="BX261" s="253"/>
      <c r="BY261" s="253"/>
      <c r="BZ261" s="253"/>
      <c r="CA261" s="253"/>
      <c r="CB261" s="253"/>
      <c r="CC261" s="253"/>
      <c r="CD261" s="253"/>
      <c r="CE261" s="253"/>
      <c r="CF261" s="253"/>
      <c r="CG261" s="253"/>
      <c r="CH261" s="253"/>
      <c r="CI261" s="253"/>
      <c r="CJ261" s="253"/>
      <c r="CK261" s="253"/>
      <c r="CL261" s="253"/>
      <c r="CM261" s="253"/>
      <c r="CN261" s="253"/>
      <c r="CO261" s="253"/>
      <c r="CP261" s="253"/>
      <c r="CQ261" s="253"/>
    </row>
    <row r="262" spans="1:95" s="15" customFormat="1" ht="24.75" customHeight="1">
      <c r="A262" s="79" t="s">
        <v>111</v>
      </c>
      <c r="B262" s="88" t="s">
        <v>148</v>
      </c>
      <c r="C262" s="118"/>
      <c r="D262" s="105"/>
      <c r="E262" s="118"/>
      <c r="F262" s="105"/>
      <c r="G262" s="133">
        <f>G268+G271+G263</f>
        <v>9.084548599999998</v>
      </c>
      <c r="H262" s="13"/>
      <c r="I262" s="119"/>
      <c r="J262" s="360"/>
      <c r="K262" s="13"/>
      <c r="L262" s="13"/>
      <c r="M262" s="13"/>
      <c r="N262" s="13"/>
      <c r="O262" s="322"/>
      <c r="P262" s="333">
        <f>P269</f>
        <v>0</v>
      </c>
      <c r="Q262" s="133">
        <f aca="true" t="shared" si="74" ref="Q262:V262">Q263+Q268+Q271</f>
        <v>2.80427</v>
      </c>
      <c r="R262" s="113">
        <f t="shared" si="74"/>
        <v>6.280278599999999</v>
      </c>
      <c r="S262" s="113">
        <f t="shared" si="74"/>
        <v>0</v>
      </c>
      <c r="T262" s="113">
        <f t="shared" si="74"/>
        <v>0</v>
      </c>
      <c r="U262" s="113">
        <f t="shared" si="74"/>
        <v>0</v>
      </c>
      <c r="V262" s="134">
        <f t="shared" si="74"/>
        <v>9.084548599999998</v>
      </c>
      <c r="W262" s="62"/>
      <c r="X262" s="74"/>
      <c r="Y262" s="63"/>
      <c r="Z262" s="6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</row>
    <row r="263" spans="1:95" s="9" customFormat="1" ht="24.75" customHeight="1">
      <c r="A263" s="36" t="s">
        <v>112</v>
      </c>
      <c r="B263" s="94" t="s">
        <v>35</v>
      </c>
      <c r="C263" s="43"/>
      <c r="D263" s="41"/>
      <c r="E263" s="43"/>
      <c r="F263" s="41"/>
      <c r="G263" s="135">
        <f>SUM(G264:G267)</f>
        <v>4.426522199999999</v>
      </c>
      <c r="H263" s="3"/>
      <c r="I263" s="4"/>
      <c r="J263" s="362"/>
      <c r="K263" s="3"/>
      <c r="L263" s="3"/>
      <c r="M263" s="3"/>
      <c r="N263" s="3"/>
      <c r="O263" s="154"/>
      <c r="P263" s="161"/>
      <c r="Q263" s="135">
        <f>SUM(Q264:Q266)</f>
        <v>0.472</v>
      </c>
      <c r="R263" s="111">
        <f>SUM(R264:R267)</f>
        <v>3.9545221999999995</v>
      </c>
      <c r="S263" s="111">
        <f>SUM(S264:S266)</f>
        <v>0</v>
      </c>
      <c r="T263" s="111">
        <f>SUM(T264:T266)</f>
        <v>0</v>
      </c>
      <c r="U263" s="111">
        <f>SUM(U264:U266)</f>
        <v>0</v>
      </c>
      <c r="V263" s="131">
        <f aca="true" t="shared" si="75" ref="V263:V272">T263+S263+R263+Q263+P263</f>
        <v>4.426522199999999</v>
      </c>
      <c r="W263" s="155"/>
      <c r="X263" s="71"/>
      <c r="Y263" s="156"/>
      <c r="Z263" s="156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</row>
    <row r="264" spans="1:95" s="293" customFormat="1" ht="52.5" customHeight="1">
      <c r="A264" s="259">
        <v>1</v>
      </c>
      <c r="B264" s="242" t="s">
        <v>198</v>
      </c>
      <c r="C264" s="243" t="s">
        <v>59</v>
      </c>
      <c r="D264" s="244" t="s">
        <v>166</v>
      </c>
      <c r="E264" s="243">
        <v>2014</v>
      </c>
      <c r="F264" s="244">
        <v>2014</v>
      </c>
      <c r="G264" s="257">
        <f>0.2*1.18</f>
        <v>0.236</v>
      </c>
      <c r="H264" s="249"/>
      <c r="I264" s="245"/>
      <c r="J264" s="277" t="str">
        <f>D264</f>
        <v>0,8 км</v>
      </c>
      <c r="K264" s="247"/>
      <c r="L264" s="247"/>
      <c r="M264" s="247"/>
      <c r="N264" s="247"/>
      <c r="O264" s="256" t="str">
        <f>J264</f>
        <v>0,8 км</v>
      </c>
      <c r="P264" s="336"/>
      <c r="Q264" s="257">
        <f>G264</f>
        <v>0.236</v>
      </c>
      <c r="R264" s="247"/>
      <c r="S264" s="247"/>
      <c r="T264" s="249"/>
      <c r="U264" s="249"/>
      <c r="V264" s="250">
        <f>T264+S264+R264+Q264+P264</f>
        <v>0.236</v>
      </c>
      <c r="W264" s="251"/>
      <c r="X264" s="279"/>
      <c r="Y264" s="252"/>
      <c r="Z264" s="252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53"/>
      <c r="AT264" s="253"/>
      <c r="AU264" s="253"/>
      <c r="AV264" s="253"/>
      <c r="AW264" s="253"/>
      <c r="AX264" s="253"/>
      <c r="AY264" s="253"/>
      <c r="AZ264" s="253"/>
      <c r="BA264" s="253"/>
      <c r="BB264" s="253"/>
      <c r="BC264" s="253"/>
      <c r="BD264" s="253"/>
      <c r="BE264" s="253"/>
      <c r="BF264" s="253"/>
      <c r="BG264" s="253"/>
      <c r="BH264" s="253"/>
      <c r="BI264" s="253"/>
      <c r="BJ264" s="253"/>
      <c r="BK264" s="253"/>
      <c r="BL264" s="253"/>
      <c r="BM264" s="253"/>
      <c r="BN264" s="253"/>
      <c r="BO264" s="253"/>
      <c r="BP264" s="253"/>
      <c r="BQ264" s="253"/>
      <c r="BR264" s="253"/>
      <c r="BS264" s="253"/>
      <c r="BT264" s="253"/>
      <c r="BU264" s="253"/>
      <c r="BV264" s="253"/>
      <c r="BW264" s="253"/>
      <c r="BX264" s="253"/>
      <c r="BY264" s="253"/>
      <c r="BZ264" s="253"/>
      <c r="CA264" s="253"/>
      <c r="CB264" s="253"/>
      <c r="CC264" s="253"/>
      <c r="CD264" s="253"/>
      <c r="CE264" s="253"/>
      <c r="CF264" s="253"/>
      <c r="CG264" s="253"/>
      <c r="CH264" s="253"/>
      <c r="CI264" s="253"/>
      <c r="CJ264" s="253"/>
      <c r="CK264" s="253"/>
      <c r="CL264" s="253"/>
      <c r="CM264" s="253"/>
      <c r="CN264" s="253"/>
      <c r="CO264" s="253"/>
      <c r="CP264" s="253"/>
      <c r="CQ264" s="253"/>
    </row>
    <row r="265" spans="1:95" s="293" customFormat="1" ht="52.5" customHeight="1">
      <c r="A265" s="259">
        <f>A264+1</f>
        <v>2</v>
      </c>
      <c r="B265" s="242" t="s">
        <v>242</v>
      </c>
      <c r="C265" s="243" t="s">
        <v>59</v>
      </c>
      <c r="D265" s="244" t="s">
        <v>80</v>
      </c>
      <c r="E265" s="243">
        <v>2014</v>
      </c>
      <c r="F265" s="244">
        <v>2014</v>
      </c>
      <c r="G265" s="257">
        <f>0.2*1.18</f>
        <v>0.236</v>
      </c>
      <c r="H265" s="249"/>
      <c r="I265" s="245"/>
      <c r="J265" s="277" t="str">
        <f>D265</f>
        <v>0,4 км</v>
      </c>
      <c r="K265" s="247"/>
      <c r="L265" s="247"/>
      <c r="M265" s="247"/>
      <c r="N265" s="247"/>
      <c r="O265" s="256" t="str">
        <f>J265</f>
        <v>0,4 км</v>
      </c>
      <c r="P265" s="336"/>
      <c r="Q265" s="257">
        <f>G265</f>
        <v>0.236</v>
      </c>
      <c r="R265" s="247"/>
      <c r="S265" s="247"/>
      <c r="T265" s="249"/>
      <c r="U265" s="249"/>
      <c r="V265" s="250">
        <f>T265+S265+R265+Q265+P265</f>
        <v>0.236</v>
      </c>
      <c r="W265" s="251"/>
      <c r="X265" s="279"/>
      <c r="Y265" s="252"/>
      <c r="Z265" s="252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53"/>
      <c r="AT265" s="253"/>
      <c r="AU265" s="253"/>
      <c r="AV265" s="253"/>
      <c r="AW265" s="253"/>
      <c r="AX265" s="253"/>
      <c r="AY265" s="253"/>
      <c r="AZ265" s="253"/>
      <c r="BA265" s="253"/>
      <c r="BB265" s="253"/>
      <c r="BC265" s="253"/>
      <c r="BD265" s="253"/>
      <c r="BE265" s="253"/>
      <c r="BF265" s="253"/>
      <c r="BG265" s="253"/>
      <c r="BH265" s="253"/>
      <c r="BI265" s="253"/>
      <c r="BJ265" s="253"/>
      <c r="BK265" s="253"/>
      <c r="BL265" s="253"/>
      <c r="BM265" s="253"/>
      <c r="BN265" s="253"/>
      <c r="BO265" s="253"/>
      <c r="BP265" s="253"/>
      <c r="BQ265" s="253"/>
      <c r="BR265" s="253"/>
      <c r="BS265" s="253"/>
      <c r="BT265" s="253"/>
      <c r="BU265" s="253"/>
      <c r="BV265" s="253"/>
      <c r="BW265" s="253"/>
      <c r="BX265" s="253"/>
      <c r="BY265" s="253"/>
      <c r="BZ265" s="253"/>
      <c r="CA265" s="253"/>
      <c r="CB265" s="253"/>
      <c r="CC265" s="253"/>
      <c r="CD265" s="253"/>
      <c r="CE265" s="253"/>
      <c r="CF265" s="253"/>
      <c r="CG265" s="253"/>
      <c r="CH265" s="253"/>
      <c r="CI265" s="253"/>
      <c r="CJ265" s="253"/>
      <c r="CK265" s="253"/>
      <c r="CL265" s="253"/>
      <c r="CM265" s="253"/>
      <c r="CN265" s="253"/>
      <c r="CO265" s="253"/>
      <c r="CP265" s="253"/>
      <c r="CQ265" s="253"/>
    </row>
    <row r="266" spans="1:95" s="196" customFormat="1" ht="53.25" customHeight="1">
      <c r="A266" s="259">
        <f>A265+1</f>
        <v>3</v>
      </c>
      <c r="B266" s="179" t="s">
        <v>215</v>
      </c>
      <c r="C266" s="188" t="s">
        <v>36</v>
      </c>
      <c r="D266" s="189" t="s">
        <v>166</v>
      </c>
      <c r="E266" s="188">
        <v>2015</v>
      </c>
      <c r="F266" s="198">
        <v>2015</v>
      </c>
      <c r="G266" s="349">
        <f>1.28121*1.18</f>
        <v>1.5118277999999998</v>
      </c>
      <c r="H266" s="191"/>
      <c r="I266" s="190"/>
      <c r="J266" s="299"/>
      <c r="K266" s="192" t="str">
        <f>D266</f>
        <v>0,8 км</v>
      </c>
      <c r="L266" s="192"/>
      <c r="M266" s="192"/>
      <c r="N266" s="192"/>
      <c r="O266" s="298" t="str">
        <f>D266</f>
        <v>0,8 км</v>
      </c>
      <c r="P266" s="301"/>
      <c r="Q266" s="349"/>
      <c r="R266" s="184">
        <f>G266</f>
        <v>1.5118277999999998</v>
      </c>
      <c r="S266" s="184"/>
      <c r="T266" s="191"/>
      <c r="U266" s="191"/>
      <c r="V266" s="194">
        <f>SUM(P266:S266)</f>
        <v>1.5118277999999998</v>
      </c>
      <c r="W266" s="195"/>
      <c r="X266" s="185"/>
      <c r="Y266" s="185"/>
      <c r="Z266" s="185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N266" s="186"/>
      <c r="BO266" s="186"/>
      <c r="BP266" s="186"/>
      <c r="BQ266" s="186"/>
      <c r="BR266" s="186"/>
      <c r="BS266" s="186"/>
      <c r="BT266" s="186"/>
      <c r="BU266" s="186"/>
      <c r="BV266" s="186"/>
      <c r="BW266" s="186"/>
      <c r="BX266" s="186"/>
      <c r="BY266" s="186"/>
      <c r="BZ266" s="186"/>
      <c r="CA266" s="186"/>
      <c r="CB266" s="186"/>
      <c r="CC266" s="186"/>
      <c r="CD266" s="186"/>
      <c r="CE266" s="186"/>
      <c r="CF266" s="186"/>
      <c r="CG266" s="186"/>
      <c r="CH266" s="186"/>
      <c r="CI266" s="186"/>
      <c r="CJ266" s="186"/>
      <c r="CK266" s="186"/>
      <c r="CL266" s="186"/>
      <c r="CM266" s="186"/>
      <c r="CN266" s="186"/>
      <c r="CO266" s="186"/>
      <c r="CP266" s="186"/>
      <c r="CQ266" s="186"/>
    </row>
    <row r="267" spans="1:95" s="196" customFormat="1" ht="53.25" customHeight="1">
      <c r="A267" s="259">
        <f>A266+1</f>
        <v>4</v>
      </c>
      <c r="B267" s="179" t="s">
        <v>242</v>
      </c>
      <c r="C267" s="188" t="s">
        <v>36</v>
      </c>
      <c r="D267" s="189" t="s">
        <v>80</v>
      </c>
      <c r="E267" s="188">
        <v>2015</v>
      </c>
      <c r="F267" s="198">
        <v>2015</v>
      </c>
      <c r="G267" s="349">
        <f>2.07008*1.18</f>
        <v>2.4426943999999997</v>
      </c>
      <c r="H267" s="191"/>
      <c r="I267" s="190"/>
      <c r="J267" s="299"/>
      <c r="K267" s="192" t="str">
        <f>D267</f>
        <v>0,4 км</v>
      </c>
      <c r="L267" s="192"/>
      <c r="M267" s="192"/>
      <c r="N267" s="192"/>
      <c r="O267" s="298" t="str">
        <f>D267</f>
        <v>0,4 км</v>
      </c>
      <c r="P267" s="301"/>
      <c r="Q267" s="349"/>
      <c r="R267" s="184">
        <f>G267</f>
        <v>2.4426943999999997</v>
      </c>
      <c r="S267" s="184"/>
      <c r="T267" s="191"/>
      <c r="U267" s="191"/>
      <c r="V267" s="194">
        <f>SUM(P267:S267)</f>
        <v>2.4426943999999997</v>
      </c>
      <c r="W267" s="195"/>
      <c r="X267" s="185"/>
      <c r="Y267" s="185"/>
      <c r="Z267" s="185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186"/>
      <c r="BN267" s="186"/>
      <c r="BO267" s="186"/>
      <c r="BP267" s="186"/>
      <c r="BQ267" s="186"/>
      <c r="BR267" s="186"/>
      <c r="BS267" s="186"/>
      <c r="BT267" s="186"/>
      <c r="BU267" s="186"/>
      <c r="BV267" s="186"/>
      <c r="BW267" s="186"/>
      <c r="BX267" s="186"/>
      <c r="BY267" s="186"/>
      <c r="BZ267" s="186"/>
      <c r="CA267" s="186"/>
      <c r="CB267" s="186"/>
      <c r="CC267" s="186"/>
      <c r="CD267" s="186"/>
      <c r="CE267" s="186"/>
      <c r="CF267" s="186"/>
      <c r="CG267" s="186"/>
      <c r="CH267" s="186"/>
      <c r="CI267" s="186"/>
      <c r="CJ267" s="186"/>
      <c r="CK267" s="186"/>
      <c r="CL267" s="186"/>
      <c r="CM267" s="186"/>
      <c r="CN267" s="186"/>
      <c r="CO267" s="186"/>
      <c r="CP267" s="186"/>
      <c r="CQ267" s="186"/>
    </row>
    <row r="268" spans="1:95" s="28" customFormat="1" ht="21" customHeight="1">
      <c r="A268" s="36" t="s">
        <v>114</v>
      </c>
      <c r="B268" s="94" t="s">
        <v>39</v>
      </c>
      <c r="C268" s="43"/>
      <c r="D268" s="41"/>
      <c r="E268" s="43"/>
      <c r="F268" s="41"/>
      <c r="G268" s="135">
        <f>SUM(G269:G270)</f>
        <v>2.6207564</v>
      </c>
      <c r="H268" s="8"/>
      <c r="I268" s="4"/>
      <c r="J268" s="362"/>
      <c r="K268" s="3"/>
      <c r="L268" s="3"/>
      <c r="M268" s="3"/>
      <c r="N268" s="3"/>
      <c r="O268" s="154"/>
      <c r="P268" s="161"/>
      <c r="Q268" s="135">
        <f>SUM(Q269:Q270)</f>
        <v>0.295</v>
      </c>
      <c r="R268" s="8">
        <f>SUM(R269:R270)</f>
        <v>2.3257564</v>
      </c>
      <c r="S268" s="8">
        <f>SUM(S269:S270)</f>
        <v>0</v>
      </c>
      <c r="T268" s="8">
        <f>SUM(T269:T270)</f>
        <v>0</v>
      </c>
      <c r="U268" s="8">
        <f>SUM(U269:U270)</f>
        <v>0</v>
      </c>
      <c r="V268" s="131">
        <f t="shared" si="75"/>
        <v>2.6207564</v>
      </c>
      <c r="W268" s="62"/>
      <c r="X268" s="74"/>
      <c r="Y268" s="73"/>
      <c r="Z268" s="73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</row>
    <row r="269" spans="1:95" s="263" customFormat="1" ht="36" customHeight="1">
      <c r="A269" s="259">
        <v>1</v>
      </c>
      <c r="B269" s="242" t="s">
        <v>353</v>
      </c>
      <c r="C269" s="243" t="s">
        <v>59</v>
      </c>
      <c r="D269" s="244" t="s">
        <v>167</v>
      </c>
      <c r="E269" s="243">
        <v>2014</v>
      </c>
      <c r="F269" s="244">
        <v>2014</v>
      </c>
      <c r="G269" s="257">
        <f>0.25*1.18</f>
        <v>0.295</v>
      </c>
      <c r="H269" s="247"/>
      <c r="I269" s="245"/>
      <c r="J269" s="277" t="str">
        <f>D269</f>
        <v>1,4 км</v>
      </c>
      <c r="K269" s="247"/>
      <c r="L269" s="247"/>
      <c r="M269" s="247"/>
      <c r="N269" s="247"/>
      <c r="O269" s="256" t="str">
        <f>J269</f>
        <v>1,4 км</v>
      </c>
      <c r="P269" s="336"/>
      <c r="Q269" s="257">
        <f>G269</f>
        <v>0.295</v>
      </c>
      <c r="R269" s="249"/>
      <c r="S269" s="246"/>
      <c r="T269" s="249"/>
      <c r="U269" s="249"/>
      <c r="V269" s="250">
        <f t="shared" si="75"/>
        <v>0.295</v>
      </c>
      <c r="W269" s="251"/>
      <c r="X269" s="261"/>
      <c r="Y269" s="261"/>
      <c r="Z269" s="261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262"/>
      <c r="AK269" s="262"/>
      <c r="AL269" s="262"/>
      <c r="AM269" s="262"/>
      <c r="AN269" s="262"/>
      <c r="AO269" s="262"/>
      <c r="AP269" s="262"/>
      <c r="AQ269" s="262"/>
      <c r="AR269" s="262"/>
      <c r="AS269" s="262"/>
      <c r="AT269" s="262"/>
      <c r="AU269" s="262"/>
      <c r="AV269" s="262"/>
      <c r="AW269" s="262"/>
      <c r="AX269" s="262"/>
      <c r="AY269" s="262"/>
      <c r="AZ269" s="262"/>
      <c r="BA269" s="262"/>
      <c r="BB269" s="262"/>
      <c r="BC269" s="262"/>
      <c r="BD269" s="262"/>
      <c r="BE269" s="262"/>
      <c r="BF269" s="262"/>
      <c r="BG269" s="262"/>
      <c r="BH269" s="262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2"/>
      <c r="BW269" s="262"/>
      <c r="BX269" s="262"/>
      <c r="BY269" s="262"/>
      <c r="BZ269" s="262"/>
      <c r="CA269" s="262"/>
      <c r="CB269" s="262"/>
      <c r="CC269" s="262"/>
      <c r="CD269" s="262"/>
      <c r="CE269" s="262"/>
      <c r="CF269" s="262"/>
      <c r="CG269" s="262"/>
      <c r="CH269" s="262"/>
      <c r="CI269" s="262"/>
      <c r="CJ269" s="262"/>
      <c r="CK269" s="262"/>
      <c r="CL269" s="262"/>
      <c r="CM269" s="262"/>
      <c r="CN269" s="262"/>
      <c r="CO269" s="262"/>
      <c r="CP269" s="262"/>
      <c r="CQ269" s="262"/>
    </row>
    <row r="270" spans="1:95" s="196" customFormat="1" ht="53.25" customHeight="1">
      <c r="A270" s="259">
        <f>A269+1</f>
        <v>2</v>
      </c>
      <c r="B270" s="179" t="s">
        <v>353</v>
      </c>
      <c r="C270" s="188" t="s">
        <v>36</v>
      </c>
      <c r="D270" s="189" t="s">
        <v>167</v>
      </c>
      <c r="E270" s="188">
        <v>2015</v>
      </c>
      <c r="F270" s="198">
        <v>2015</v>
      </c>
      <c r="G270" s="349">
        <f>1.97098*1.18</f>
        <v>2.3257564</v>
      </c>
      <c r="H270" s="191"/>
      <c r="I270" s="190"/>
      <c r="J270" s="299"/>
      <c r="K270" s="192" t="str">
        <f>D270</f>
        <v>1,4 км</v>
      </c>
      <c r="L270" s="192"/>
      <c r="M270" s="192"/>
      <c r="N270" s="192"/>
      <c r="O270" s="298" t="str">
        <f>D270</f>
        <v>1,4 км</v>
      </c>
      <c r="P270" s="301"/>
      <c r="Q270" s="349"/>
      <c r="R270" s="184">
        <f>G270</f>
        <v>2.3257564</v>
      </c>
      <c r="S270" s="184"/>
      <c r="T270" s="191"/>
      <c r="U270" s="191"/>
      <c r="V270" s="194">
        <f>SUM(P270:S270)</f>
        <v>2.3257564</v>
      </c>
      <c r="W270" s="195"/>
      <c r="X270" s="185"/>
      <c r="Y270" s="185"/>
      <c r="Z270" s="185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  <c r="BN270" s="186"/>
      <c r="BO270" s="186"/>
      <c r="BP270" s="186"/>
      <c r="BQ270" s="186"/>
      <c r="BR270" s="186"/>
      <c r="BS270" s="186"/>
      <c r="BT270" s="186"/>
      <c r="BU270" s="186"/>
      <c r="BV270" s="186"/>
      <c r="BW270" s="186"/>
      <c r="BX270" s="186"/>
      <c r="BY270" s="186"/>
      <c r="BZ270" s="186"/>
      <c r="CA270" s="186"/>
      <c r="CB270" s="186"/>
      <c r="CC270" s="186"/>
      <c r="CD270" s="186"/>
      <c r="CE270" s="186"/>
      <c r="CF270" s="186"/>
      <c r="CG270" s="186"/>
      <c r="CH270" s="186"/>
      <c r="CI270" s="186"/>
      <c r="CJ270" s="186"/>
      <c r="CK270" s="186"/>
      <c r="CL270" s="186"/>
      <c r="CM270" s="186"/>
      <c r="CN270" s="186"/>
      <c r="CO270" s="186"/>
      <c r="CP270" s="186"/>
      <c r="CQ270" s="186"/>
    </row>
    <row r="271" spans="1:95" s="9" customFormat="1" ht="24.75" customHeight="1">
      <c r="A271" s="36" t="s">
        <v>115</v>
      </c>
      <c r="B271" s="94" t="s">
        <v>69</v>
      </c>
      <c r="C271" s="43"/>
      <c r="D271" s="41"/>
      <c r="E271" s="43"/>
      <c r="F271" s="41"/>
      <c r="G271" s="135">
        <f>G272</f>
        <v>2.03727</v>
      </c>
      <c r="H271" s="3"/>
      <c r="I271" s="4"/>
      <c r="J271" s="85"/>
      <c r="K271" s="3"/>
      <c r="L271" s="3"/>
      <c r="M271" s="3"/>
      <c r="N271" s="3"/>
      <c r="O271" s="162"/>
      <c r="P271" s="161"/>
      <c r="Q271" s="135">
        <f>SUM(Q272)</f>
        <v>2.03727</v>
      </c>
      <c r="R271" s="8">
        <f>SUM(R272)</f>
        <v>0</v>
      </c>
      <c r="S271" s="8">
        <f>SUM(S272)</f>
        <v>0</v>
      </c>
      <c r="T271" s="8">
        <f>SUM(T272)</f>
        <v>0</v>
      </c>
      <c r="U271" s="8">
        <f>SUM(U272)</f>
        <v>0</v>
      </c>
      <c r="V271" s="131">
        <f t="shared" si="75"/>
        <v>2.03727</v>
      </c>
      <c r="W271" s="155"/>
      <c r="X271" s="71"/>
      <c r="Y271" s="156"/>
      <c r="Z271" s="156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</row>
    <row r="272" spans="1:95" s="263" customFormat="1" ht="59.25" customHeight="1">
      <c r="A272" s="259">
        <v>1</v>
      </c>
      <c r="B272" s="242" t="s">
        <v>249</v>
      </c>
      <c r="C272" s="243" t="s">
        <v>36</v>
      </c>
      <c r="D272" s="244" t="s">
        <v>250</v>
      </c>
      <c r="E272" s="243">
        <v>2014</v>
      </c>
      <c r="F272" s="244">
        <v>2014</v>
      </c>
      <c r="G272" s="257">
        <f>1.7265*1.18</f>
        <v>2.03727</v>
      </c>
      <c r="H272" s="247"/>
      <c r="I272" s="245"/>
      <c r="J272" s="277" t="str">
        <f>D272</f>
        <v>2,302 км</v>
      </c>
      <c r="K272" s="247"/>
      <c r="L272" s="247"/>
      <c r="M272" s="247"/>
      <c r="N272" s="247"/>
      <c r="O272" s="256" t="str">
        <f>J272</f>
        <v>2,302 км</v>
      </c>
      <c r="P272" s="336"/>
      <c r="Q272" s="257">
        <f>G272</f>
        <v>2.03727</v>
      </c>
      <c r="R272" s="249"/>
      <c r="S272" s="246"/>
      <c r="T272" s="249"/>
      <c r="U272" s="249"/>
      <c r="V272" s="250">
        <f t="shared" si="75"/>
        <v>2.03727</v>
      </c>
      <c r="W272" s="251"/>
      <c r="X272" s="261"/>
      <c r="Y272" s="261"/>
      <c r="Z272" s="261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62"/>
      <c r="BS272" s="262"/>
      <c r="BT272" s="262"/>
      <c r="BU272" s="262"/>
      <c r="BV272" s="262"/>
      <c r="BW272" s="262"/>
      <c r="BX272" s="262"/>
      <c r="BY272" s="262"/>
      <c r="BZ272" s="262"/>
      <c r="CA272" s="262"/>
      <c r="CB272" s="262"/>
      <c r="CC272" s="262"/>
      <c r="CD272" s="262"/>
      <c r="CE272" s="262"/>
      <c r="CF272" s="262"/>
      <c r="CG272" s="262"/>
      <c r="CH272" s="262"/>
      <c r="CI272" s="262"/>
      <c r="CJ272" s="262"/>
      <c r="CK272" s="262"/>
      <c r="CL272" s="262"/>
      <c r="CM272" s="262"/>
      <c r="CN272" s="262"/>
      <c r="CO272" s="262"/>
      <c r="CP272" s="262"/>
      <c r="CQ272" s="262"/>
    </row>
    <row r="273" spans="1:95" s="15" customFormat="1" ht="24.75" customHeight="1">
      <c r="A273" s="79" t="s">
        <v>138</v>
      </c>
      <c r="B273" s="88" t="s">
        <v>251</v>
      </c>
      <c r="C273" s="118"/>
      <c r="D273" s="105"/>
      <c r="E273" s="118"/>
      <c r="F273" s="105"/>
      <c r="G273" s="133">
        <f>G283+G286+G275</f>
        <v>2.5892622</v>
      </c>
      <c r="H273" s="13"/>
      <c r="I273" s="119"/>
      <c r="J273" s="360"/>
      <c r="K273" s="13"/>
      <c r="L273" s="13"/>
      <c r="M273" s="13"/>
      <c r="N273" s="13"/>
      <c r="O273" s="322"/>
      <c r="P273" s="333">
        <f>P284</f>
        <v>0</v>
      </c>
      <c r="Q273" s="133">
        <f aca="true" t="shared" si="76" ref="Q273:V273">Q275+Q283+Q286</f>
        <v>2.5892622</v>
      </c>
      <c r="R273" s="113">
        <f t="shared" si="76"/>
        <v>0</v>
      </c>
      <c r="S273" s="113">
        <f t="shared" si="76"/>
        <v>0</v>
      </c>
      <c r="T273" s="113">
        <f t="shared" si="76"/>
        <v>0</v>
      </c>
      <c r="U273" s="113">
        <f t="shared" si="76"/>
        <v>0</v>
      </c>
      <c r="V273" s="134">
        <f t="shared" si="76"/>
        <v>2.5892622</v>
      </c>
      <c r="W273" s="62"/>
      <c r="X273" s="74"/>
      <c r="Y273" s="63"/>
      <c r="Z273" s="6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</row>
    <row r="274" spans="1:95" s="9" customFormat="1" ht="24.75" customHeight="1">
      <c r="A274" s="36" t="s">
        <v>252</v>
      </c>
      <c r="B274" s="94" t="s">
        <v>69</v>
      </c>
      <c r="C274" s="43"/>
      <c r="D274" s="41"/>
      <c r="E274" s="43"/>
      <c r="F274" s="41"/>
      <c r="G274" s="135">
        <f>G275</f>
        <v>2.5892622</v>
      </c>
      <c r="H274" s="3"/>
      <c r="I274" s="4"/>
      <c r="J274" s="85"/>
      <c r="K274" s="3"/>
      <c r="L274" s="3"/>
      <c r="M274" s="3"/>
      <c r="N274" s="3"/>
      <c r="O274" s="162"/>
      <c r="P274" s="161"/>
      <c r="Q274" s="135">
        <f>SUM(Q275)</f>
        <v>2.5892622</v>
      </c>
      <c r="R274" s="8">
        <f>SUM(R275)</f>
        <v>0</v>
      </c>
      <c r="S274" s="8">
        <f>SUM(S275)</f>
        <v>0</v>
      </c>
      <c r="T274" s="8">
        <f>SUM(T275)</f>
        <v>0</v>
      </c>
      <c r="U274" s="8">
        <f>SUM(U275)</f>
        <v>0</v>
      </c>
      <c r="V274" s="131">
        <f>T274+S274+R274+Q274+P274</f>
        <v>2.5892622</v>
      </c>
      <c r="W274" s="155"/>
      <c r="X274" s="71"/>
      <c r="Y274" s="156"/>
      <c r="Z274" s="156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</row>
    <row r="275" spans="1:95" s="263" customFormat="1" ht="59.25" customHeight="1">
      <c r="A275" s="259">
        <v>1</v>
      </c>
      <c r="B275" s="242" t="s">
        <v>253</v>
      </c>
      <c r="C275" s="243" t="s">
        <v>36</v>
      </c>
      <c r="D275" s="244" t="s">
        <v>254</v>
      </c>
      <c r="E275" s="243">
        <v>2014</v>
      </c>
      <c r="F275" s="244">
        <v>2014</v>
      </c>
      <c r="G275" s="257">
        <f>2.19429*1.18</f>
        <v>2.5892622</v>
      </c>
      <c r="H275" s="247"/>
      <c r="I275" s="245"/>
      <c r="J275" s="277" t="str">
        <f>D275</f>
        <v>0,81 км</v>
      </c>
      <c r="K275" s="247"/>
      <c r="L275" s="247"/>
      <c r="M275" s="247"/>
      <c r="N275" s="247"/>
      <c r="O275" s="256" t="str">
        <f>J275</f>
        <v>0,81 км</v>
      </c>
      <c r="P275" s="336"/>
      <c r="Q275" s="257">
        <f>G275</f>
        <v>2.5892622</v>
      </c>
      <c r="R275" s="249"/>
      <c r="S275" s="246"/>
      <c r="T275" s="249"/>
      <c r="U275" s="249"/>
      <c r="V275" s="250">
        <f>T275+S275+R275+Q275+P275</f>
        <v>2.5892622</v>
      </c>
      <c r="W275" s="251"/>
      <c r="X275" s="261"/>
      <c r="Y275" s="261"/>
      <c r="Z275" s="261"/>
      <c r="AA275" s="262"/>
      <c r="AB275" s="262"/>
      <c r="AC275" s="262"/>
      <c r="AD275" s="262"/>
      <c r="AE275" s="262"/>
      <c r="AF275" s="262"/>
      <c r="AG275" s="262"/>
      <c r="AH275" s="262"/>
      <c r="AI275" s="262"/>
      <c r="AJ275" s="262"/>
      <c r="AK275" s="262"/>
      <c r="AL275" s="262"/>
      <c r="AM275" s="262"/>
      <c r="AN275" s="262"/>
      <c r="AO275" s="262"/>
      <c r="AP275" s="262"/>
      <c r="AQ275" s="262"/>
      <c r="AR275" s="262"/>
      <c r="AS275" s="262"/>
      <c r="AT275" s="262"/>
      <c r="AU275" s="262"/>
      <c r="AV275" s="262"/>
      <c r="AW275" s="262"/>
      <c r="AX275" s="262"/>
      <c r="AY275" s="262"/>
      <c r="AZ275" s="262"/>
      <c r="BA275" s="262"/>
      <c r="BB275" s="262"/>
      <c r="BC275" s="262"/>
      <c r="BD275" s="262"/>
      <c r="BE275" s="262"/>
      <c r="BF275" s="262"/>
      <c r="BG275" s="262"/>
      <c r="BH275" s="262"/>
      <c r="BI275" s="262"/>
      <c r="BJ275" s="262"/>
      <c r="BK275" s="262"/>
      <c r="BL275" s="262"/>
      <c r="BM275" s="262"/>
      <c r="BN275" s="262"/>
      <c r="BO275" s="262"/>
      <c r="BP275" s="262"/>
      <c r="BQ275" s="262"/>
      <c r="BR275" s="262"/>
      <c r="BS275" s="262"/>
      <c r="BT275" s="262"/>
      <c r="BU275" s="262"/>
      <c r="BV275" s="262"/>
      <c r="BW275" s="262"/>
      <c r="BX275" s="262"/>
      <c r="BY275" s="262"/>
      <c r="BZ275" s="262"/>
      <c r="CA275" s="262"/>
      <c r="CB275" s="262"/>
      <c r="CC275" s="262"/>
      <c r="CD275" s="262"/>
      <c r="CE275" s="262"/>
      <c r="CF275" s="262"/>
      <c r="CG275" s="262"/>
      <c r="CH275" s="262"/>
      <c r="CI275" s="262"/>
      <c r="CJ275" s="262"/>
      <c r="CK275" s="262"/>
      <c r="CL275" s="262"/>
      <c r="CM275" s="262"/>
      <c r="CN275" s="262"/>
      <c r="CO275" s="262"/>
      <c r="CP275" s="262"/>
      <c r="CQ275" s="262"/>
    </row>
    <row r="276" spans="1:95" s="15" customFormat="1" ht="63" customHeight="1">
      <c r="A276" s="79" t="s">
        <v>318</v>
      </c>
      <c r="B276" s="93" t="s">
        <v>319</v>
      </c>
      <c r="C276" s="118"/>
      <c r="D276" s="105"/>
      <c r="E276" s="118"/>
      <c r="F276" s="105"/>
      <c r="G276" s="133">
        <f>G286+G289+G278</f>
        <v>0</v>
      </c>
      <c r="H276" s="13"/>
      <c r="I276" s="119"/>
      <c r="J276" s="360"/>
      <c r="K276" s="13"/>
      <c r="L276" s="13"/>
      <c r="M276" s="13"/>
      <c r="N276" s="13"/>
      <c r="O276" s="322"/>
      <c r="P276" s="333">
        <f>P287</f>
        <v>0</v>
      </c>
      <c r="Q276" s="133">
        <f aca="true" t="shared" si="77" ref="Q276:V276">Q278+Q286+Q289</f>
        <v>0</v>
      </c>
      <c r="R276" s="113">
        <f t="shared" si="77"/>
        <v>0</v>
      </c>
      <c r="S276" s="113">
        <f t="shared" si="77"/>
        <v>0</v>
      </c>
      <c r="T276" s="113">
        <f t="shared" si="77"/>
        <v>0</v>
      </c>
      <c r="U276" s="113">
        <f t="shared" si="77"/>
        <v>0</v>
      </c>
      <c r="V276" s="134">
        <f t="shared" si="77"/>
        <v>0</v>
      </c>
      <c r="W276" s="62"/>
      <c r="X276" s="74"/>
      <c r="Y276" s="63"/>
      <c r="Z276" s="6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</row>
    <row r="277" spans="1:95" s="9" customFormat="1" ht="24.75" customHeight="1">
      <c r="A277" s="36" t="s">
        <v>252</v>
      </c>
      <c r="B277" s="94" t="s">
        <v>35</v>
      </c>
      <c r="C277" s="43"/>
      <c r="D277" s="41"/>
      <c r="E277" s="43"/>
      <c r="F277" s="41"/>
      <c r="G277" s="135">
        <f>G278</f>
        <v>0</v>
      </c>
      <c r="H277" s="3"/>
      <c r="I277" s="4"/>
      <c r="J277" s="85"/>
      <c r="K277" s="3"/>
      <c r="L277" s="3"/>
      <c r="M277" s="3"/>
      <c r="N277" s="3"/>
      <c r="O277" s="162"/>
      <c r="P277" s="161"/>
      <c r="Q277" s="135">
        <f>SUM(Q278)</f>
        <v>0</v>
      </c>
      <c r="R277" s="8">
        <f>SUM(R278)</f>
        <v>0</v>
      </c>
      <c r="S277" s="8">
        <f>SUM(S278)</f>
        <v>0</v>
      </c>
      <c r="T277" s="8">
        <f>SUM(T278)</f>
        <v>0</v>
      </c>
      <c r="U277" s="8">
        <f>SUM(U278)</f>
        <v>0</v>
      </c>
      <c r="V277" s="131">
        <f>T277+S277+R277+Q277+P277</f>
        <v>0</v>
      </c>
      <c r="W277" s="155"/>
      <c r="X277" s="71"/>
      <c r="Y277" s="156"/>
      <c r="Z277" s="156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</row>
    <row r="278" spans="1:95" s="263" customFormat="1" ht="57.75" customHeight="1">
      <c r="A278" s="259">
        <v>1</v>
      </c>
      <c r="B278" s="242" t="s">
        <v>319</v>
      </c>
      <c r="C278" s="243"/>
      <c r="D278" s="244"/>
      <c r="E278" s="243">
        <v>2014</v>
      </c>
      <c r="F278" s="244">
        <v>2014</v>
      </c>
      <c r="G278" s="257">
        <v>0</v>
      </c>
      <c r="H278" s="247"/>
      <c r="I278" s="245"/>
      <c r="J278" s="277"/>
      <c r="K278" s="247"/>
      <c r="L278" s="247"/>
      <c r="M278" s="247"/>
      <c r="N278" s="247"/>
      <c r="O278" s="256"/>
      <c r="P278" s="336"/>
      <c r="Q278" s="257">
        <v>0</v>
      </c>
      <c r="R278" s="249"/>
      <c r="S278" s="246"/>
      <c r="T278" s="249"/>
      <c r="U278" s="249"/>
      <c r="V278" s="250">
        <v>0</v>
      </c>
      <c r="W278" s="251"/>
      <c r="X278" s="261"/>
      <c r="Y278" s="261"/>
      <c r="Z278" s="261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262"/>
      <c r="AK278" s="262"/>
      <c r="AL278" s="262"/>
      <c r="AM278" s="262"/>
      <c r="AN278" s="262"/>
      <c r="AO278" s="262"/>
      <c r="AP278" s="262"/>
      <c r="AQ278" s="262"/>
      <c r="AR278" s="262"/>
      <c r="AS278" s="262"/>
      <c r="AT278" s="262"/>
      <c r="AU278" s="262"/>
      <c r="AV278" s="262"/>
      <c r="AW278" s="262"/>
      <c r="AX278" s="262"/>
      <c r="AY278" s="262"/>
      <c r="AZ278" s="262"/>
      <c r="BA278" s="262"/>
      <c r="BB278" s="262"/>
      <c r="BC278" s="262"/>
      <c r="BD278" s="262"/>
      <c r="BE278" s="262"/>
      <c r="BF278" s="262"/>
      <c r="BG278" s="262"/>
      <c r="BH278" s="262"/>
      <c r="BI278" s="262"/>
      <c r="BJ278" s="262"/>
      <c r="BK278" s="262"/>
      <c r="BL278" s="262"/>
      <c r="BM278" s="262"/>
      <c r="BN278" s="262"/>
      <c r="BO278" s="262"/>
      <c r="BP278" s="262"/>
      <c r="BQ278" s="262"/>
      <c r="BR278" s="262"/>
      <c r="BS278" s="262"/>
      <c r="BT278" s="262"/>
      <c r="BU278" s="262"/>
      <c r="BV278" s="262"/>
      <c r="BW278" s="262"/>
      <c r="BX278" s="262"/>
      <c r="BY278" s="262"/>
      <c r="BZ278" s="262"/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2"/>
      <c r="CM278" s="262"/>
      <c r="CN278" s="262"/>
      <c r="CO278" s="262"/>
      <c r="CP278" s="262"/>
      <c r="CQ278" s="262"/>
    </row>
    <row r="279" spans="1:95" s="27" customFormat="1" ht="15.75">
      <c r="A279" s="78">
        <v>3</v>
      </c>
      <c r="B279" s="95" t="s">
        <v>118</v>
      </c>
      <c r="C279" s="116"/>
      <c r="D279" s="104"/>
      <c r="E279" s="116"/>
      <c r="F279" s="104"/>
      <c r="G279" s="132">
        <f>G280</f>
        <v>23.6338424</v>
      </c>
      <c r="H279" s="10"/>
      <c r="I279" s="117"/>
      <c r="J279" s="359"/>
      <c r="K279" s="10"/>
      <c r="L279" s="10"/>
      <c r="M279" s="10"/>
      <c r="N279" s="10"/>
      <c r="O279" s="312"/>
      <c r="P279" s="146">
        <f aca="true" t="shared" si="78" ref="P279:V280">P280</f>
        <v>0</v>
      </c>
      <c r="Q279" s="132">
        <f t="shared" si="78"/>
        <v>13.499884400000001</v>
      </c>
      <c r="R279" s="11">
        <f t="shared" si="78"/>
        <v>2.00364</v>
      </c>
      <c r="S279" s="11">
        <f t="shared" si="78"/>
        <v>2.8423958</v>
      </c>
      <c r="T279" s="11">
        <f t="shared" si="78"/>
        <v>2.5200080000000002</v>
      </c>
      <c r="U279" s="11">
        <f t="shared" si="78"/>
        <v>2.7679141999999994</v>
      </c>
      <c r="V279" s="130">
        <f t="shared" si="78"/>
        <v>23.6338424</v>
      </c>
      <c r="W279" s="62"/>
      <c r="X279" s="74"/>
      <c r="Y279" s="73"/>
      <c r="Z279" s="73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</row>
    <row r="280" spans="1:95" s="2" customFormat="1" ht="15.75">
      <c r="A280" s="36" t="s">
        <v>119</v>
      </c>
      <c r="B280" s="89" t="s">
        <v>35</v>
      </c>
      <c r="C280" s="120"/>
      <c r="D280" s="106"/>
      <c r="E280" s="120"/>
      <c r="F280" s="106"/>
      <c r="G280" s="135">
        <f>G281</f>
        <v>23.6338424</v>
      </c>
      <c r="H280" s="16"/>
      <c r="I280" s="35"/>
      <c r="J280" s="85"/>
      <c r="K280" s="16"/>
      <c r="L280" s="16"/>
      <c r="M280" s="16"/>
      <c r="N280" s="16"/>
      <c r="O280" s="106"/>
      <c r="P280" s="161">
        <f t="shared" si="78"/>
        <v>0</v>
      </c>
      <c r="Q280" s="135">
        <f t="shared" si="78"/>
        <v>13.499884400000001</v>
      </c>
      <c r="R280" s="8">
        <f t="shared" si="78"/>
        <v>2.00364</v>
      </c>
      <c r="S280" s="8">
        <f t="shared" si="78"/>
        <v>2.8423958</v>
      </c>
      <c r="T280" s="8">
        <f t="shared" si="78"/>
        <v>2.5200080000000002</v>
      </c>
      <c r="U280" s="8">
        <f t="shared" si="78"/>
        <v>2.7679141999999994</v>
      </c>
      <c r="V280" s="129">
        <f t="shared" si="78"/>
        <v>23.6338424</v>
      </c>
      <c r="W280" s="62"/>
      <c r="X280" s="63"/>
      <c r="Y280" s="63"/>
      <c r="Z280" s="6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</row>
    <row r="281" spans="1:95" s="254" customFormat="1" ht="16.5" thickBot="1">
      <c r="A281" s="280">
        <v>1</v>
      </c>
      <c r="B281" s="281" t="s">
        <v>118</v>
      </c>
      <c r="C281" s="282"/>
      <c r="D281" s="283"/>
      <c r="E281" s="282">
        <v>2014</v>
      </c>
      <c r="F281" s="283">
        <v>2018</v>
      </c>
      <c r="G281" s="286">
        <f>V281</f>
        <v>23.6338424</v>
      </c>
      <c r="H281" s="285"/>
      <c r="I281" s="284"/>
      <c r="J281" s="371"/>
      <c r="K281" s="285"/>
      <c r="L281" s="285"/>
      <c r="M281" s="285"/>
      <c r="N281" s="285"/>
      <c r="O281" s="283"/>
      <c r="P281" s="348"/>
      <c r="Q281" s="286">
        <f>11.44058*1.18</f>
        <v>13.499884400000001</v>
      </c>
      <c r="R281" s="287">
        <f>1.698*1.18</f>
        <v>2.00364</v>
      </c>
      <c r="S281" s="287">
        <f>2.40881*1.18</f>
        <v>2.8423958</v>
      </c>
      <c r="T281" s="287">
        <f>2.1356*1.18</f>
        <v>2.5200080000000002</v>
      </c>
      <c r="U281" s="287">
        <f>2.34569*1.18</f>
        <v>2.7679141999999994</v>
      </c>
      <c r="V281" s="288">
        <f>T281+S281+R281+Q281+P281+U281</f>
        <v>23.6338424</v>
      </c>
      <c r="W281" s="251"/>
      <c r="X281" s="252"/>
      <c r="Y281" s="252"/>
      <c r="Z281" s="252"/>
      <c r="AA281" s="253"/>
      <c r="AB281" s="253"/>
      <c r="AC281" s="253"/>
      <c r="AD281" s="253"/>
      <c r="AE281" s="253"/>
      <c r="AF281" s="253"/>
      <c r="AG281" s="253"/>
      <c r="AH281" s="253"/>
      <c r="AI281" s="253"/>
      <c r="AJ281" s="253"/>
      <c r="AK281" s="253"/>
      <c r="AL281" s="253"/>
      <c r="AM281" s="253"/>
      <c r="AN281" s="253"/>
      <c r="AO281" s="253"/>
      <c r="AP281" s="253"/>
      <c r="AQ281" s="253"/>
      <c r="AR281" s="253"/>
      <c r="AS281" s="253"/>
      <c r="AT281" s="253"/>
      <c r="AU281" s="253"/>
      <c r="AV281" s="253"/>
      <c r="AW281" s="253"/>
      <c r="AX281" s="253"/>
      <c r="AY281" s="253"/>
      <c r="AZ281" s="253"/>
      <c r="BA281" s="253"/>
      <c r="BB281" s="253"/>
      <c r="BC281" s="253"/>
      <c r="BD281" s="253"/>
      <c r="BE281" s="253"/>
      <c r="BF281" s="253"/>
      <c r="BG281" s="253"/>
      <c r="BH281" s="253"/>
      <c r="BI281" s="253"/>
      <c r="BJ281" s="253"/>
      <c r="BK281" s="253"/>
      <c r="BL281" s="253"/>
      <c r="BM281" s="253"/>
      <c r="BN281" s="253"/>
      <c r="BO281" s="253"/>
      <c r="BP281" s="253"/>
      <c r="BQ281" s="253"/>
      <c r="BR281" s="253"/>
      <c r="BS281" s="253"/>
      <c r="BT281" s="253"/>
      <c r="BU281" s="253"/>
      <c r="BV281" s="253"/>
      <c r="BW281" s="253"/>
      <c r="BX281" s="253"/>
      <c r="BY281" s="253"/>
      <c r="BZ281" s="253"/>
      <c r="CA281" s="253"/>
      <c r="CB281" s="253"/>
      <c r="CC281" s="253"/>
      <c r="CD281" s="253"/>
      <c r="CE281" s="253"/>
      <c r="CF281" s="253"/>
      <c r="CG281" s="253"/>
      <c r="CH281" s="253"/>
      <c r="CI281" s="253"/>
      <c r="CJ281" s="253"/>
      <c r="CK281" s="253"/>
      <c r="CL281" s="253"/>
      <c r="CM281" s="253"/>
      <c r="CN281" s="253"/>
      <c r="CO281" s="253"/>
      <c r="CP281" s="253"/>
      <c r="CQ281" s="253"/>
    </row>
    <row r="282" spans="1:95" s="254" customFormat="1" ht="15.75">
      <c r="A282" s="385"/>
      <c r="B282" s="386"/>
      <c r="C282" s="385"/>
      <c r="D282" s="385"/>
      <c r="E282" s="385"/>
      <c r="F282" s="385"/>
      <c r="G282" s="387"/>
      <c r="H282" s="385"/>
      <c r="I282" s="385"/>
      <c r="J282" s="385"/>
      <c r="K282" s="385"/>
      <c r="L282" s="385"/>
      <c r="M282" s="385"/>
      <c r="N282" s="385"/>
      <c r="O282" s="385"/>
      <c r="P282" s="387"/>
      <c r="Q282" s="387"/>
      <c r="R282" s="387"/>
      <c r="S282" s="387"/>
      <c r="T282" s="387"/>
      <c r="U282" s="387"/>
      <c r="V282" s="387"/>
      <c r="W282" s="251"/>
      <c r="X282" s="252"/>
      <c r="Y282" s="252"/>
      <c r="Z282" s="252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53"/>
      <c r="AT282" s="253"/>
      <c r="AU282" s="253"/>
      <c r="AV282" s="253"/>
      <c r="AW282" s="253"/>
      <c r="AX282" s="253"/>
      <c r="AY282" s="253"/>
      <c r="AZ282" s="253"/>
      <c r="BA282" s="253"/>
      <c r="BB282" s="253"/>
      <c r="BC282" s="253"/>
      <c r="BD282" s="253"/>
      <c r="BE282" s="253"/>
      <c r="BF282" s="253"/>
      <c r="BG282" s="253"/>
      <c r="BH282" s="253"/>
      <c r="BI282" s="253"/>
      <c r="BJ282" s="253"/>
      <c r="BK282" s="253"/>
      <c r="BL282" s="253"/>
      <c r="BM282" s="253"/>
      <c r="BN282" s="253"/>
      <c r="BO282" s="253"/>
      <c r="BP282" s="253"/>
      <c r="BQ282" s="253"/>
      <c r="BR282" s="253"/>
      <c r="BS282" s="253"/>
      <c r="BT282" s="253"/>
      <c r="BU282" s="253"/>
      <c r="BV282" s="253"/>
      <c r="BW282" s="253"/>
      <c r="BX282" s="253"/>
      <c r="BY282" s="253"/>
      <c r="BZ282" s="253"/>
      <c r="CA282" s="253"/>
      <c r="CB282" s="253"/>
      <c r="CC282" s="253"/>
      <c r="CD282" s="253"/>
      <c r="CE282" s="253"/>
      <c r="CF282" s="253"/>
      <c r="CG282" s="253"/>
      <c r="CH282" s="253"/>
      <c r="CI282" s="253"/>
      <c r="CJ282" s="253"/>
      <c r="CK282" s="253"/>
      <c r="CL282" s="253"/>
      <c r="CM282" s="253"/>
      <c r="CN282" s="253"/>
      <c r="CO282" s="253"/>
      <c r="CP282" s="253"/>
      <c r="CQ282" s="253"/>
    </row>
    <row r="283" spans="1:95" s="29" customFormat="1" ht="15.75">
      <c r="A283" s="5"/>
      <c r="B283" s="56" t="s">
        <v>320</v>
      </c>
      <c r="C283" s="30"/>
      <c r="D283" s="30"/>
      <c r="E283" s="30"/>
      <c r="F283" s="30"/>
      <c r="G283" s="31"/>
      <c r="H283" s="30"/>
      <c r="I283" s="30"/>
      <c r="J283" s="30"/>
      <c r="K283" s="30"/>
      <c r="L283" s="30"/>
      <c r="M283" s="30"/>
      <c r="N283" s="30"/>
      <c r="O283" s="30"/>
      <c r="P283" s="31"/>
      <c r="Q283" s="31"/>
      <c r="R283" s="31"/>
      <c r="S283" s="31"/>
      <c r="T283" s="31"/>
      <c r="U283" s="31"/>
      <c r="V283" s="31"/>
      <c r="W283" s="65"/>
      <c r="X283" s="63"/>
      <c r="Y283" s="63"/>
      <c r="Z283" s="6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</row>
    <row r="284" spans="1:95" s="29" customFormat="1" ht="15.75">
      <c r="A284" s="5"/>
      <c r="B284" s="56"/>
      <c r="C284" s="30"/>
      <c r="D284" s="30"/>
      <c r="E284" s="30"/>
      <c r="F284" s="30"/>
      <c r="G284" s="31"/>
      <c r="H284" s="30"/>
      <c r="I284" s="30"/>
      <c r="J284" s="30"/>
      <c r="K284" s="30"/>
      <c r="L284" s="30"/>
      <c r="M284" s="30"/>
      <c r="N284" s="30"/>
      <c r="O284" s="30"/>
      <c r="P284" s="31"/>
      <c r="Q284" s="31"/>
      <c r="R284" s="31"/>
      <c r="S284" s="31"/>
      <c r="T284" s="31"/>
      <c r="U284" s="31"/>
      <c r="V284" s="31"/>
      <c r="W284" s="65"/>
      <c r="X284" s="63"/>
      <c r="Y284" s="63"/>
      <c r="Z284" s="6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</row>
    <row r="285" spans="1:95" s="29" customFormat="1" ht="15.75">
      <c r="A285" s="5"/>
      <c r="B285" s="56"/>
      <c r="C285" s="30"/>
      <c r="D285" s="30"/>
      <c r="E285" s="30"/>
      <c r="F285" s="30"/>
      <c r="G285" s="31"/>
      <c r="H285" s="30"/>
      <c r="I285" s="30"/>
      <c r="J285" s="30"/>
      <c r="K285" s="30"/>
      <c r="L285" s="30"/>
      <c r="M285" s="30"/>
      <c r="N285" s="30"/>
      <c r="O285" s="30"/>
      <c r="P285" s="31"/>
      <c r="Q285" s="31"/>
      <c r="R285" s="31"/>
      <c r="S285" s="31"/>
      <c r="T285" s="31"/>
      <c r="U285" s="31"/>
      <c r="V285" s="31"/>
      <c r="W285" s="65"/>
      <c r="X285" s="63"/>
      <c r="Y285" s="63"/>
      <c r="Z285" s="6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</row>
    <row r="286" spans="1:95" s="29" customFormat="1" ht="15.75">
      <c r="A286" s="32"/>
      <c r="B286" s="57"/>
      <c r="C286" s="33"/>
      <c r="D286" s="33"/>
      <c r="E286" s="33"/>
      <c r="F286" s="33"/>
      <c r="G286" s="34"/>
      <c r="H286" s="33"/>
      <c r="I286" s="33"/>
      <c r="J286" s="33"/>
      <c r="K286" s="33"/>
      <c r="L286" s="33"/>
      <c r="M286" s="33"/>
      <c r="N286" s="33"/>
      <c r="O286" s="33"/>
      <c r="P286" s="34"/>
      <c r="Q286" s="34"/>
      <c r="R286" s="34"/>
      <c r="S286" s="34"/>
      <c r="T286" s="34"/>
      <c r="U286" s="34"/>
      <c r="V286" s="34"/>
      <c r="W286" s="65"/>
      <c r="X286" s="63"/>
      <c r="Y286" s="63"/>
      <c r="Z286" s="6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</row>
    <row r="287" ht="15.75">
      <c r="AA287" s="53" t="s">
        <v>126</v>
      </c>
    </row>
  </sheetData>
  <sheetProtection/>
  <autoFilter ref="A19:CR281"/>
  <mergeCells count="17">
    <mergeCell ref="S1:V1"/>
    <mergeCell ref="S2:V2"/>
    <mergeCell ref="S3:V3"/>
    <mergeCell ref="A6:V6"/>
    <mergeCell ref="A7:V7"/>
    <mergeCell ref="J17:O17"/>
    <mergeCell ref="P17:V17"/>
    <mergeCell ref="A17:A19"/>
    <mergeCell ref="B17:B19"/>
    <mergeCell ref="F17:F19"/>
    <mergeCell ref="I17:I18"/>
    <mergeCell ref="G17:G18"/>
    <mergeCell ref="B9:C9"/>
    <mergeCell ref="C17:C18"/>
    <mergeCell ref="D17:D18"/>
    <mergeCell ref="E17:E19"/>
    <mergeCell ref="H17:H18"/>
  </mergeCells>
  <printOptions/>
  <pageMargins left="0" right="0" top="0" bottom="0" header="0" footer="0"/>
  <pageSetup fitToHeight="0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usr02419</dc:creator>
  <cp:keywords/>
  <dc:description/>
  <cp:lastModifiedBy>usr02322</cp:lastModifiedBy>
  <cp:lastPrinted>2014-02-18T07:21:51Z</cp:lastPrinted>
  <dcterms:created xsi:type="dcterms:W3CDTF">2011-03-24T06:58:11Z</dcterms:created>
  <dcterms:modified xsi:type="dcterms:W3CDTF">2014-03-13T11:46:09Z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DZQQNTZWJNVN-2-1036</vt:lpwstr>
  </property>
  <property fmtid="{D5CDD505-2E9C-101B-9397-08002B2CF9AE}" pid="4" name="_dlc_DocIdItemGu">
    <vt:lpwstr>b82a8f4f-88cf-4341-8948-ab8a559c0c45</vt:lpwstr>
  </property>
  <property fmtid="{D5CDD505-2E9C-101B-9397-08002B2CF9AE}" pid="5" name="_dlc_DocIdU">
    <vt:lpwstr>http://info.kom-tech.ru:8090/_layouts/DocIdRedir.aspx?ID=DZQQNTZWJNVN-2-1036, DZQQNTZWJNVN-2-1036</vt:lpwstr>
  </property>
  <property fmtid="{D5CDD505-2E9C-101B-9397-08002B2CF9AE}" pid="6" name="u">
    <vt:lpwstr/>
  </property>
</Properties>
</file>